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115" windowHeight="1170"/>
  </bookViews>
  <sheets>
    <sheet name="Tuition and Fees" sheetId="1" r:id="rId1"/>
    <sheet name="Repayment Pla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94" i="2" l="1"/>
  <c r="U88" i="2" l="1"/>
  <c r="U82" i="2"/>
  <c r="U76" i="2"/>
  <c r="I94" i="2"/>
  <c r="I88" i="2"/>
  <c r="I82" i="2"/>
  <c r="I76" i="2"/>
  <c r="U12" i="2" l="1"/>
  <c r="N42" i="2"/>
  <c r="I50" i="2" l="1"/>
  <c r="Q51" i="2"/>
  <c r="Q50" i="2"/>
  <c r="Q49" i="2"/>
  <c r="Q48" i="2"/>
  <c r="Q47" i="2"/>
  <c r="Q46" i="2"/>
  <c r="Q45" i="2"/>
  <c r="Q44" i="2"/>
  <c r="Q43" i="2"/>
  <c r="Q42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P43" i="2"/>
  <c r="P44" i="2"/>
  <c r="P45" i="2"/>
  <c r="P46" i="2"/>
  <c r="P47" i="2"/>
  <c r="P48" i="2"/>
  <c r="P49" i="2"/>
  <c r="P50" i="2"/>
  <c r="P51" i="2"/>
  <c r="P42" i="2"/>
  <c r="E51" i="2"/>
  <c r="E50" i="2"/>
  <c r="E49" i="2"/>
  <c r="E48" i="2"/>
  <c r="E47" i="2"/>
  <c r="E46" i="2"/>
  <c r="E45" i="2"/>
  <c r="E44" i="2"/>
  <c r="E43" i="2"/>
  <c r="E42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3" i="2"/>
  <c r="C44" i="2"/>
  <c r="C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42" i="2"/>
  <c r="D43" i="2"/>
  <c r="D44" i="2"/>
  <c r="D45" i="2"/>
  <c r="D46" i="2"/>
  <c r="D47" i="2"/>
  <c r="D48" i="2"/>
  <c r="D49" i="2"/>
  <c r="D50" i="2"/>
  <c r="D51" i="2"/>
  <c r="D42" i="2"/>
  <c r="U62" i="2"/>
  <c r="U56" i="2"/>
  <c r="U50" i="2"/>
  <c r="U44" i="2"/>
  <c r="I62" i="2"/>
  <c r="I56" i="2"/>
  <c r="I44" i="2"/>
  <c r="Q19" i="2"/>
  <c r="Q18" i="2"/>
  <c r="Q17" i="2"/>
  <c r="Q16" i="2"/>
  <c r="Q15" i="2"/>
  <c r="Q14" i="2"/>
  <c r="Q13" i="2"/>
  <c r="Q12" i="2"/>
  <c r="Q11" i="2"/>
  <c r="Q10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1" i="2"/>
  <c r="O12" i="2"/>
  <c r="O10" i="2"/>
  <c r="U30" i="2"/>
  <c r="U24" i="2"/>
  <c r="U18" i="2"/>
  <c r="I24" i="2"/>
  <c r="I30" i="2"/>
  <c r="I18" i="2"/>
  <c r="I12" i="2"/>
  <c r="C25" i="1" l="1"/>
  <c r="C76" i="1"/>
  <c r="C75" i="1"/>
  <c r="F77" i="1" l="1"/>
  <c r="D77" i="1"/>
  <c r="F53" i="1"/>
  <c r="D53" i="1"/>
  <c r="F78" i="1"/>
  <c r="D78" i="1"/>
  <c r="F72" i="1" l="1"/>
  <c r="F73" i="1"/>
  <c r="F74" i="1"/>
  <c r="F71" i="1"/>
  <c r="E72" i="1"/>
  <c r="E73" i="1"/>
  <c r="E74" i="1"/>
  <c r="E71" i="1"/>
  <c r="D72" i="1"/>
  <c r="D73" i="1"/>
  <c r="D74" i="1"/>
  <c r="D71" i="1"/>
  <c r="C72" i="1"/>
  <c r="C73" i="1"/>
  <c r="C74" i="1"/>
  <c r="E47" i="1"/>
  <c r="C47" i="1"/>
  <c r="C71" i="1"/>
  <c r="F21" i="1"/>
  <c r="E22" i="1"/>
  <c r="F22" i="1" s="1"/>
  <c r="E23" i="1"/>
  <c r="E24" i="1"/>
  <c r="E21" i="1"/>
  <c r="D21" i="1"/>
  <c r="D22" i="1"/>
  <c r="C22" i="1"/>
  <c r="C23" i="1"/>
  <c r="D23" i="1" s="1"/>
  <c r="C24" i="1"/>
  <c r="D24" i="1" s="1"/>
  <c r="C21" i="1"/>
  <c r="D47" i="1"/>
  <c r="F46" i="1"/>
  <c r="E48" i="1"/>
  <c r="C52" i="1" s="1"/>
  <c r="E49" i="1"/>
  <c r="F49" i="1" s="1"/>
  <c r="E50" i="1"/>
  <c r="E46" i="1"/>
  <c r="D46" i="1"/>
  <c r="D48" i="1"/>
  <c r="C48" i="1"/>
  <c r="C49" i="1"/>
  <c r="D49" i="1" s="1"/>
  <c r="C50" i="1"/>
  <c r="C46" i="1"/>
  <c r="D54" i="1" l="1"/>
  <c r="D50" i="1"/>
  <c r="F23" i="1"/>
  <c r="F50" i="1"/>
  <c r="C51" i="1"/>
  <c r="F28" i="1"/>
  <c r="D28" i="1"/>
  <c r="C26" i="1"/>
  <c r="F24" i="1"/>
  <c r="F48" i="1"/>
  <c r="F47" i="1"/>
  <c r="F70" i="1"/>
  <c r="F63" i="1"/>
  <c r="F64" i="1"/>
  <c r="F65" i="1"/>
  <c r="F66" i="1"/>
  <c r="F67" i="1"/>
  <c r="F62" i="1"/>
  <c r="D70" i="1"/>
  <c r="D63" i="1"/>
  <c r="D67" i="1"/>
  <c r="D62" i="1"/>
  <c r="F40" i="1"/>
  <c r="F41" i="1"/>
  <c r="F42" i="1"/>
  <c r="F43" i="1"/>
  <c r="F44" i="1"/>
  <c r="F45" i="1"/>
  <c r="F39" i="1"/>
  <c r="D40" i="1"/>
  <c r="D41" i="1"/>
  <c r="D42" i="1"/>
  <c r="D43" i="1"/>
  <c r="D44" i="1"/>
  <c r="D45" i="1"/>
  <c r="D39" i="1"/>
  <c r="F15" i="1"/>
  <c r="F16" i="1"/>
  <c r="F17" i="1"/>
  <c r="F18" i="1"/>
  <c r="F19" i="1"/>
  <c r="F20" i="1"/>
  <c r="F14" i="1"/>
  <c r="D15" i="1"/>
  <c r="D27" i="1" s="1"/>
  <c r="D16" i="1"/>
  <c r="D17" i="1"/>
  <c r="D18" i="1"/>
  <c r="D19" i="1"/>
  <c r="D20" i="1"/>
  <c r="D14" i="1"/>
  <c r="F54" i="1" l="1"/>
  <c r="F27" i="1"/>
</calcChain>
</file>

<file path=xl/sharedStrings.xml><?xml version="1.0" encoding="utf-8"?>
<sst xmlns="http://schemas.openxmlformats.org/spreadsheetml/2006/main" count="262" uniqueCount="77">
  <si>
    <t>Academic Years</t>
  </si>
  <si>
    <t>Years Since 2004 (x-value)</t>
  </si>
  <si>
    <t>Cost of Tuition (per year)</t>
  </si>
  <si>
    <t>Cost of Tuition w/fees (per year)</t>
  </si>
  <si>
    <t>Name:</t>
  </si>
  <si>
    <t>Location:</t>
  </si>
  <si>
    <t>Type: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</si>
  <si>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</si>
  <si>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</si>
  <si>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</si>
  <si>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</si>
  <si>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</si>
  <si>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</si>
  <si>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</si>
  <si>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</si>
  <si>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</si>
  <si>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</si>
  <si>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Source:</t>
  </si>
  <si>
    <t>Humbolt State University</t>
  </si>
  <si>
    <t>Public 4 Year</t>
  </si>
  <si>
    <t>Arcata, CA</t>
  </si>
  <si>
    <t>Boulder, CO</t>
  </si>
  <si>
    <t>In-State</t>
  </si>
  <si>
    <t>Out of State</t>
  </si>
  <si>
    <t>Community 2 year</t>
  </si>
  <si>
    <t>College Factual</t>
  </si>
  <si>
    <t>http://www.collegefactual.com/colleges/humboldt-state-university/paying-for-college/room-and-board/</t>
  </si>
  <si>
    <t>http://www.collegefactual.com/colleges/university-of-colorado-boulder/paying-for-college/tuition-and-fees/</t>
  </si>
  <si>
    <t>Tidewater Community College</t>
  </si>
  <si>
    <t>Norfolk, Virginia</t>
  </si>
  <si>
    <t>http://chronicle.com/article/Interactive-Tool-Tuition-Over/125043/</t>
  </si>
  <si>
    <t>Chronicle, Find the Best</t>
  </si>
  <si>
    <t>Percent Increase: Tuition</t>
  </si>
  <si>
    <t>Percent Increase: Tuition/Fees</t>
  </si>
  <si>
    <t>Largest Increase:</t>
  </si>
  <si>
    <t>Average % Increase:</t>
  </si>
  <si>
    <t>Projected total tution for 4 years:</t>
  </si>
  <si>
    <t>UC Boulder</t>
  </si>
  <si>
    <t>Projected total tution for 2 years:</t>
  </si>
  <si>
    <t>2014-2015</t>
  </si>
  <si>
    <t>2015-2016</t>
  </si>
  <si>
    <t>2016-2017</t>
  </si>
  <si>
    <t>2017-2018</t>
  </si>
  <si>
    <t>2018-2019</t>
  </si>
  <si>
    <t>Projected total tuiton and fees for 4 years:</t>
  </si>
  <si>
    <t>Average % Increase 4 Years:</t>
  </si>
  <si>
    <t xml:space="preserve">Average % increase past 8 Years: </t>
  </si>
  <si>
    <t xml:space="preserve">Average % increase past 4 Years: </t>
  </si>
  <si>
    <t xml:space="preserve">Average % increase past 7 Years: </t>
  </si>
  <si>
    <t>Years</t>
  </si>
  <si>
    <t>Standard Fixed</t>
  </si>
  <si>
    <t>Standard Graduated</t>
  </si>
  <si>
    <t>Extended Graduated</t>
  </si>
  <si>
    <t>Projected total tuiton and fees for 2  years:</t>
  </si>
  <si>
    <t>Extended Fixed</t>
  </si>
  <si>
    <t>Humboldt State University Repayment Plans Tuition</t>
  </si>
  <si>
    <t>Humboldt State University Repayment Plans Tuition and Fees</t>
  </si>
  <si>
    <t>UC Boulder Repayment Plans Tuition and Fees</t>
  </si>
  <si>
    <t xml:space="preserve"> UC Boulder Repayment Plans Tution</t>
  </si>
  <si>
    <t>Set Interest Rate: 6.8%</t>
  </si>
  <si>
    <t>Principle: $85,354.40</t>
  </si>
  <si>
    <t xml:space="preserve">Payback: </t>
  </si>
  <si>
    <t xml:space="preserve">Total Loan: </t>
  </si>
  <si>
    <t xml:space="preserve">Interest Payment: </t>
  </si>
  <si>
    <t>Total Loan:</t>
  </si>
  <si>
    <t>Interest Payment:</t>
  </si>
  <si>
    <t>Payback:</t>
  </si>
  <si>
    <t>Principle: $143,140.60</t>
  </si>
  <si>
    <t>Principle: $53,101.52</t>
  </si>
  <si>
    <t>Principle: $135,016.40</t>
  </si>
  <si>
    <t>Mathematical Compuations and Tuition Projections for 3 Colleges</t>
  </si>
  <si>
    <t>Repayment Plans for 3 Colleges</t>
  </si>
  <si>
    <t>Marley Gabel</t>
  </si>
  <si>
    <t>Tidewater+HSU Repayment Plans Tuition</t>
  </si>
  <si>
    <t>Tidewater+HSU Repayment Plans Tuition and Fees</t>
  </si>
  <si>
    <t>Principle: $59,324.47</t>
  </si>
  <si>
    <t>Principle: $95,197.74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</si>
</sst>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2" borderId="1" xfId="1" applyNumberFormat="1" applyFont="1" applyFill="1" applyBorder="1" applyAlignment="1">
      <alignment wrapText="1"/>
    </xf>
    <xf numFmtId="44" fontId="0" fillId="0" borderId="1" xfId="1" applyFont="1" applyBorder="1"/>
    <xf numFmtId="0" fontId="2" fillId="0" borderId="0" xfId="2"/>
    <xf numFmtId="44" fontId="0" fillId="0" borderId="0" xfId="1" applyFont="1"/>
    <xf numFmtId="44" fontId="0" fillId="0" borderId="2" xfId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44" fontId="0" fillId="3" borderId="1" xfId="1" applyFont="1" applyFill="1" applyBorder="1"/>
    <xf numFmtId="0" fontId="0" fillId="3" borderId="1" xfId="0" applyFill="1" applyBorder="1"/>
    <xf numFmtId="44" fontId="0" fillId="0" borderId="1" xfId="1" applyFont="1" applyFill="1" applyBorder="1" applyAlignment="1">
      <alignment wrapText="1"/>
    </xf>
    <xf numFmtId="44" fontId="0" fillId="0" borderId="1" xfId="1" applyFont="1" applyFill="1" applyBorder="1"/>
    <xf numFmtId="9" fontId="0" fillId="0" borderId="1" xfId="3" applyFont="1" applyBorder="1" applyAlignment="1">
      <alignment wrapText="1"/>
    </xf>
    <xf numFmtId="9" fontId="0" fillId="0" borderId="1" xfId="3" applyFont="1" applyBorder="1"/>
    <xf numFmtId="44" fontId="0" fillId="0" borderId="0" xfId="1" applyFont="1" applyBorder="1"/>
    <xf numFmtId="9" fontId="0" fillId="0" borderId="0" xfId="3" applyFont="1" applyBorder="1" applyAlignment="1">
      <alignment wrapText="1"/>
    </xf>
    <xf numFmtId="44" fontId="0" fillId="0" borderId="0" xfId="1" applyFont="1" applyAlignment="1">
      <alignment wrapText="1"/>
    </xf>
    <xf numFmtId="9" fontId="0" fillId="0" borderId="1" xfId="3" applyFont="1" applyFill="1" applyBorder="1"/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44" fontId="0" fillId="0" borderId="0" xfId="1" applyFont="1" applyBorder="1" applyAlignment="1">
      <alignment wrapText="1"/>
    </xf>
    <xf numFmtId="0" fontId="0" fillId="0" borderId="0" xfId="0" applyAlignment="1">
      <alignment horizontal="center"/>
    </xf>
    <xf numFmtId="44" fontId="0" fillId="0" borderId="0" xfId="1" applyFont="1" applyFill="1" applyBorder="1"/>
    <xf numFmtId="9" fontId="0" fillId="0" borderId="0" xfId="3" applyFont="1" applyFill="1" applyBorder="1"/>
    <xf numFmtId="44" fontId="0" fillId="0" borderId="0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2" borderId="3" xfId="1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wrapText="1"/>
    </xf>
    <xf numFmtId="9" fontId="0" fillId="3" borderId="1" xfId="3" applyFont="1" applyFill="1" applyBorder="1"/>
    <xf numFmtId="9" fontId="0" fillId="0" borderId="0" xfId="3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0" fillId="0" borderId="4" xfId="0" applyBorder="1" applyAlignment="1"/>
    <xf numFmtId="0" fontId="3" fillId="0" borderId="0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8" fontId="4" fillId="0" borderId="1" xfId="1" applyNumberFormat="1" applyFont="1" applyBorder="1" applyAlignment="1">
      <alignment vertical="center"/>
    </xf>
    <xf numFmtId="44" fontId="0" fillId="0" borderId="5" xfId="1" applyFont="1" applyBorder="1"/>
    <xf numFmtId="0" fontId="0" fillId="0" borderId="0" xfId="0" applyAlignment="1"/>
    <xf numFmtId="8" fontId="0" fillId="0" borderId="0" xfId="0" applyNumberFormat="1" applyAlignment="1"/>
    <xf numFmtId="8" fontId="0" fillId="0" borderId="0" xfId="0" applyNumberFormat="1" applyBorder="1" applyAlignment="1"/>
    <xf numFmtId="8" fontId="0" fillId="0" borderId="0" xfId="0" applyNumberFormat="1" applyBorder="1"/>
    <xf numFmtId="8" fontId="0" fillId="0" borderId="0" xfId="0" applyNumberFormat="1"/>
    <xf numFmtId="44" fontId="0" fillId="0" borderId="0" xfId="1" applyFont="1" applyAlignment="1"/>
    <xf numFmtId="44" fontId="0" fillId="0" borderId="0" xfId="1" applyFont="1" applyBorder="1" applyAlignment="1"/>
    <xf numFmtId="44" fontId="5" fillId="0" borderId="0" xfId="1" applyFont="1"/>
    <xf numFmtId="44" fontId="0" fillId="0" borderId="8" xfId="1" applyFont="1" applyBorder="1"/>
    <xf numFmtId="44" fontId="0" fillId="0" borderId="7" xfId="1" applyFont="1" applyBorder="1"/>
    <xf numFmtId="44" fontId="0" fillId="0" borderId="6" xfId="1" applyFont="1" applyBorder="1"/>
    <xf numFmtId="0" fontId="0" fillId="0" borderId="0" xfId="0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/>
    <xf numFmtId="44" fontId="0" fillId="0" borderId="3" xfId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Tuition and Tuition/Fees-Humboldt</a:t>
            </a:r>
          </a:p>
        </c:rich>
      </c:tx>
      <c:layout>
        <c:manualLayout>
          <c:xMode val="edge"/>
          <c:yMode val="edge"/>
          <c:x val="0.1852222222222222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42071975639918"/>
          <c:y val="0.19943314377369495"/>
          <c:w val="0.4513788306725966"/>
          <c:h val="0.59104512977544477"/>
        </c:manualLayout>
      </c:layout>
      <c:scatterChart>
        <c:scatterStyle val="lineMarker"/>
        <c:varyColors val="0"/>
        <c:ser>
          <c:idx val="0"/>
          <c:order val="0"/>
          <c:tx>
            <c:v>Tuition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Fees'!$B$13:$B$20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'Tuition and Fees'!$C$13:$C$20</c:f>
              <c:numCache>
                <c:formatCode>_("$"* #,##0.00_);_("$"* \(#,##0.00\);_("$"* "-"??_);_(@_)</c:formatCode>
                <c:ptCount val="8"/>
                <c:pt idx="0">
                  <c:v>13345</c:v>
                </c:pt>
                <c:pt idx="1">
                  <c:v>14013</c:v>
                </c:pt>
                <c:pt idx="2">
                  <c:v>14318</c:v>
                </c:pt>
                <c:pt idx="3">
                  <c:v>16331</c:v>
                </c:pt>
                <c:pt idx="4">
                  <c:v>16910</c:v>
                </c:pt>
                <c:pt idx="5">
                  <c:v>18222</c:v>
                </c:pt>
                <c:pt idx="6">
                  <c:v>18400</c:v>
                </c:pt>
                <c:pt idx="7">
                  <c:v>18598</c:v>
                </c:pt>
              </c:numCache>
            </c:numRef>
          </c:yVal>
          <c:smooth val="0"/>
        </c:ser>
        <c:ser>
          <c:idx val="1"/>
          <c:order val="1"/>
          <c:tx>
            <c:v>Tuition and Fees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Fees'!$B$13:$B$20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'Tuition and Fees'!$E$13:$E$20</c:f>
              <c:numCache>
                <c:formatCode>_("$"* #,##0.00_);_("$"* \(#,##0.00\);_("$"* "-"??_);_(@_)</c:formatCode>
                <c:ptCount val="8"/>
                <c:pt idx="0">
                  <c:v>23009</c:v>
                </c:pt>
                <c:pt idx="1">
                  <c:v>23849</c:v>
                </c:pt>
                <c:pt idx="2">
                  <c:v>24760</c:v>
                </c:pt>
                <c:pt idx="3">
                  <c:v>27369</c:v>
                </c:pt>
                <c:pt idx="4">
                  <c:v>28424</c:v>
                </c:pt>
                <c:pt idx="5">
                  <c:v>30252</c:v>
                </c:pt>
                <c:pt idx="6">
                  <c:v>31015</c:v>
                </c:pt>
                <c:pt idx="7">
                  <c:v>31829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11040"/>
        <c:axId val="91517312"/>
      </c:scatterChart>
      <c:valAx>
        <c:axId val="9151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5139063867016621"/>
              <c:y val="0.87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1517312"/>
        <c:crosses val="autoZero"/>
        <c:crossBetween val="midCat"/>
      </c:valAx>
      <c:valAx>
        <c:axId val="91517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151104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165951263897876"/>
          <c:y val="0.56369387054673936"/>
          <c:w val="0.18846163306482652"/>
          <c:h val="0.130711696395386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Tuition and</a:t>
            </a:r>
            <a:r>
              <a:rPr lang="en-US" baseline="0"/>
              <a:t> Tuition/Fees-CU Boulder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539574543117869"/>
          <c:y val="0.15507912914124264"/>
          <c:w val="0.45271469308861934"/>
          <c:h val="0.67443931691297976"/>
        </c:manualLayout>
      </c:layout>
      <c:scatterChart>
        <c:scatterStyle val="lineMarker"/>
        <c:varyColors val="0"/>
        <c:ser>
          <c:idx val="0"/>
          <c:order val="0"/>
          <c:tx>
            <c:v>Tuition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Fees'!$B$38:$B$45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'Tuition and Fees'!$C$38:$C$45</c:f>
              <c:numCache>
                <c:formatCode>_("$"* #,##0.00_);_("$"* \(#,##0.00\);_("$"* "-"??_);_(@_)</c:formatCode>
                <c:ptCount val="8"/>
                <c:pt idx="0">
                  <c:v>5643</c:v>
                </c:pt>
                <c:pt idx="1">
                  <c:v>6635</c:v>
                </c:pt>
                <c:pt idx="2">
                  <c:v>7278</c:v>
                </c:pt>
                <c:pt idx="3">
                  <c:v>7932</c:v>
                </c:pt>
                <c:pt idx="4">
                  <c:v>8511</c:v>
                </c:pt>
                <c:pt idx="5">
                  <c:v>9152</c:v>
                </c:pt>
                <c:pt idx="6">
                  <c:v>10007</c:v>
                </c:pt>
                <c:pt idx="7">
                  <c:v>10942</c:v>
                </c:pt>
              </c:numCache>
            </c:numRef>
          </c:yVal>
          <c:smooth val="0"/>
        </c:ser>
        <c:ser>
          <c:idx val="1"/>
          <c:order val="1"/>
          <c:tx>
            <c:v>Tuition and Fees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Fees'!$B$38:$B$45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'Tuition and Fees'!$E$38:$E$45</c:f>
              <c:numCache>
                <c:formatCode>_("$"* #,##0.00_);_("$"* \(#,##0.00\);_("$"* "-"??_);_(@_)</c:formatCode>
                <c:ptCount val="8"/>
                <c:pt idx="0">
                  <c:v>15641</c:v>
                </c:pt>
                <c:pt idx="1">
                  <c:v>15641</c:v>
                </c:pt>
                <c:pt idx="2">
                  <c:v>18887</c:v>
                </c:pt>
                <c:pt idx="3">
                  <c:v>20059</c:v>
                </c:pt>
                <c:pt idx="4">
                  <c:v>21051</c:v>
                </c:pt>
                <c:pt idx="5">
                  <c:v>22422</c:v>
                </c:pt>
                <c:pt idx="6">
                  <c:v>23869</c:v>
                </c:pt>
                <c:pt idx="7">
                  <c:v>25427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75040"/>
        <c:axId val="91576960"/>
      </c:scatterChart>
      <c:valAx>
        <c:axId val="915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576960"/>
        <c:crosses val="autoZero"/>
        <c:crossBetween val="midCat"/>
      </c:valAx>
      <c:valAx>
        <c:axId val="9157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1575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643158761400303"/>
          <c:y val="0.52728993356135401"/>
          <c:w val="0.22279021028318502"/>
          <c:h val="0.232801085120053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Tuition and Tuition/Fees-Tidewater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45480792272463"/>
          <c:y val="0.15687270878394405"/>
          <c:w val="0.4756134150065362"/>
          <c:h val="0.67067401969418361"/>
        </c:manualLayout>
      </c:layout>
      <c:scatterChart>
        <c:scatterStyle val="lineMarker"/>
        <c:varyColors val="0"/>
        <c:ser>
          <c:idx val="0"/>
          <c:order val="0"/>
          <c:tx>
            <c:v>Tuition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Fees'!$B$61:$B$69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'Tuition and Fees'!$C$61:$C$69</c:f>
              <c:numCache>
                <c:formatCode>_("$"* #,##0.00_);_("$"* \(#,##0.00\);_("$"* "-"??_);_(@_)</c:formatCode>
                <c:ptCount val="9"/>
                <c:pt idx="0">
                  <c:v>6467</c:v>
                </c:pt>
                <c:pt idx="1">
                  <c:v>6589</c:v>
                </c:pt>
                <c:pt idx="2">
                  <c:v>6741</c:v>
                </c:pt>
                <c:pt idx="5">
                  <c:v>6894</c:v>
                </c:pt>
                <c:pt idx="6">
                  <c:v>7095</c:v>
                </c:pt>
              </c:numCache>
            </c:numRef>
          </c:yVal>
          <c:smooth val="0"/>
        </c:ser>
        <c:ser>
          <c:idx val="1"/>
          <c:order val="1"/>
          <c:tx>
            <c:v>Tuition and Fees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'Tuition and Fees'!$B$61:$B$69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'Tuition and Fees'!$E$61:$E$70</c:f>
              <c:numCache>
                <c:formatCode>_("$"* #,##0.00_);_("$"* \(#,##0.00\);_("$"* "-"??_);_(@_)</c:formatCode>
                <c:ptCount val="10"/>
                <c:pt idx="0">
                  <c:v>7432</c:v>
                </c:pt>
                <c:pt idx="1">
                  <c:v>7267</c:v>
                </c:pt>
                <c:pt idx="2">
                  <c:v>7898</c:v>
                </c:pt>
                <c:pt idx="3">
                  <c:v>7925</c:v>
                </c:pt>
                <c:pt idx="4">
                  <c:v>8223</c:v>
                </c:pt>
                <c:pt idx="5">
                  <c:v>8569</c:v>
                </c:pt>
                <c:pt idx="6">
                  <c:v>9374</c:v>
                </c:pt>
                <c:pt idx="9">
                  <c:v>10560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43776"/>
        <c:axId val="98054144"/>
      </c:scatterChart>
      <c:valAx>
        <c:axId val="9804377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98054144"/>
        <c:crosses val="autoZero"/>
        <c:crossBetween val="midCat"/>
      </c:valAx>
      <c:valAx>
        <c:axId val="98054144"/>
        <c:scaling>
          <c:orientation val="minMax"/>
          <c:min val="5000"/>
        </c:scaling>
        <c:delete val="0"/>
        <c:axPos val="l"/>
        <c:majorGridlines/>
        <c:title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8043776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1283418365670259"/>
          <c:y val="0.50896465802903168"/>
          <c:w val="0.28716581634329746"/>
          <c:h val="0.269665414937613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UC</a:t>
            </a:r>
            <a:r>
              <a:rPr lang="en-US" baseline="0"/>
              <a:t> Boulder Tution Repayments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Extended Fixed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'Repayment Plans'!$A$42:$A$66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Plans'!$B$42:$B$66</c:f>
              <c:numCache>
                <c:formatCode>_("$"* #,##0.00_);_("$"* \(#,##0.00\);_("$"* "-"??_);_(@_)</c:formatCode>
                <c:ptCount val="25"/>
                <c:pt idx="0">
                  <c:v>4422.72</c:v>
                </c:pt>
                <c:pt idx="1">
                  <c:v>4422.72</c:v>
                </c:pt>
                <c:pt idx="2">
                  <c:v>4422.72</c:v>
                </c:pt>
                <c:pt idx="3">
                  <c:v>4422.72</c:v>
                </c:pt>
                <c:pt idx="4">
                  <c:v>4422.72</c:v>
                </c:pt>
                <c:pt idx="5">
                  <c:v>4422.72</c:v>
                </c:pt>
                <c:pt idx="6">
                  <c:v>4422.72</c:v>
                </c:pt>
                <c:pt idx="7">
                  <c:v>4422.72</c:v>
                </c:pt>
                <c:pt idx="8">
                  <c:v>4422.72</c:v>
                </c:pt>
                <c:pt idx="9">
                  <c:v>4422.72</c:v>
                </c:pt>
                <c:pt idx="10">
                  <c:v>4422.72</c:v>
                </c:pt>
                <c:pt idx="11">
                  <c:v>4422.72</c:v>
                </c:pt>
                <c:pt idx="12">
                  <c:v>4422.72</c:v>
                </c:pt>
                <c:pt idx="13">
                  <c:v>4422.72</c:v>
                </c:pt>
                <c:pt idx="14">
                  <c:v>4422.72</c:v>
                </c:pt>
                <c:pt idx="15">
                  <c:v>4422.72</c:v>
                </c:pt>
                <c:pt idx="16">
                  <c:v>4422.72</c:v>
                </c:pt>
                <c:pt idx="17">
                  <c:v>4422.72</c:v>
                </c:pt>
                <c:pt idx="18">
                  <c:v>4422.72</c:v>
                </c:pt>
                <c:pt idx="19">
                  <c:v>4422.72</c:v>
                </c:pt>
                <c:pt idx="20">
                  <c:v>4422.72</c:v>
                </c:pt>
                <c:pt idx="21">
                  <c:v>4422.72</c:v>
                </c:pt>
                <c:pt idx="22">
                  <c:v>4422.72</c:v>
                </c:pt>
                <c:pt idx="23">
                  <c:v>4422.72</c:v>
                </c:pt>
                <c:pt idx="24">
                  <c:v>4422.72</c:v>
                </c:pt>
              </c:numCache>
            </c:numRef>
          </c:yVal>
          <c:smooth val="0"/>
        </c:ser>
        <c:ser>
          <c:idx val="1"/>
          <c:order val="1"/>
          <c:tx>
            <c:v>Extended Graduated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8771464994849332E-4"/>
                  <c:y val="-3.6884747919715459E-2"/>
                </c:manualLayout>
              </c:layout>
              <c:numFmt formatCode="General" sourceLinked="0"/>
            </c:trendlineLbl>
          </c:trendline>
          <c:xVal>
            <c:numRef>
              <c:f>'Repayment Plans'!$A$42:$A$66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Plans'!$C$42:$C$66</c:f>
              <c:numCache>
                <c:formatCode>_("$"* #,##0.00_);_("$"* \(#,##0.00\);_("$"* "-"??_);_(@_)</c:formatCode>
                <c:ptCount val="25"/>
                <c:pt idx="0">
                  <c:v>3610.92</c:v>
                </c:pt>
                <c:pt idx="1">
                  <c:v>3610.92</c:v>
                </c:pt>
                <c:pt idx="2">
                  <c:v>3783.3599999999997</c:v>
                </c:pt>
                <c:pt idx="3">
                  <c:v>3783.3599999999997</c:v>
                </c:pt>
                <c:pt idx="4">
                  <c:v>3963.96</c:v>
                </c:pt>
                <c:pt idx="5">
                  <c:v>3963.96</c:v>
                </c:pt>
                <c:pt idx="6">
                  <c:v>4153.2000000000007</c:v>
                </c:pt>
                <c:pt idx="7">
                  <c:v>4153.2000000000007</c:v>
                </c:pt>
                <c:pt idx="8">
                  <c:v>4351.4400000000005</c:v>
                </c:pt>
                <c:pt idx="9">
                  <c:v>4351.4400000000005</c:v>
                </c:pt>
                <c:pt idx="10">
                  <c:v>4559.16</c:v>
                </c:pt>
                <c:pt idx="11">
                  <c:v>4559.16</c:v>
                </c:pt>
                <c:pt idx="12">
                  <c:v>4776.84</c:v>
                </c:pt>
                <c:pt idx="13">
                  <c:v>4776.84</c:v>
                </c:pt>
                <c:pt idx="14">
                  <c:v>5004.84</c:v>
                </c:pt>
                <c:pt idx="15">
                  <c:v>5004.84</c:v>
                </c:pt>
                <c:pt idx="16">
                  <c:v>5243.76</c:v>
                </c:pt>
                <c:pt idx="17">
                  <c:v>5243.76</c:v>
                </c:pt>
                <c:pt idx="18">
                  <c:v>5494.08</c:v>
                </c:pt>
                <c:pt idx="19">
                  <c:v>5494.08</c:v>
                </c:pt>
                <c:pt idx="20">
                  <c:v>5756.28</c:v>
                </c:pt>
                <c:pt idx="21">
                  <c:v>5756.28</c:v>
                </c:pt>
                <c:pt idx="22">
                  <c:v>6031.08</c:v>
                </c:pt>
                <c:pt idx="23">
                  <c:v>6031.08</c:v>
                </c:pt>
                <c:pt idx="24">
                  <c:v>6318.9600000000009</c:v>
                </c:pt>
              </c:numCache>
            </c:numRef>
          </c:yVal>
          <c:smooth val="0"/>
        </c:ser>
        <c:ser>
          <c:idx val="2"/>
          <c:order val="2"/>
          <c:tx>
            <c:v>Standard Fixed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'Repayment Plans'!$A$42:$A$66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Plans'!$D$42:$D$51</c:f>
              <c:numCache>
                <c:formatCode>_("$"* #,##0.00_);_("$"* \(#,##0.00\);_("$"* "-"??_);_(@_)</c:formatCode>
                <c:ptCount val="10"/>
                <c:pt idx="0">
                  <c:v>7333.08</c:v>
                </c:pt>
                <c:pt idx="1">
                  <c:v>7333.08</c:v>
                </c:pt>
                <c:pt idx="2">
                  <c:v>7333.08</c:v>
                </c:pt>
                <c:pt idx="3">
                  <c:v>7333.08</c:v>
                </c:pt>
                <c:pt idx="4">
                  <c:v>7333.08</c:v>
                </c:pt>
                <c:pt idx="5">
                  <c:v>7333.08</c:v>
                </c:pt>
                <c:pt idx="6">
                  <c:v>7333.08</c:v>
                </c:pt>
                <c:pt idx="7">
                  <c:v>7333.08</c:v>
                </c:pt>
                <c:pt idx="8">
                  <c:v>7333.08</c:v>
                </c:pt>
                <c:pt idx="9">
                  <c:v>7333.08</c:v>
                </c:pt>
              </c:numCache>
            </c:numRef>
          </c:yVal>
          <c:smooth val="0"/>
        </c:ser>
        <c:ser>
          <c:idx val="3"/>
          <c:order val="3"/>
          <c:tx>
            <c:v>Standard Graduated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'Repayment Plans'!$A$42:$A$66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Plans'!$E$42:$E$51</c:f>
              <c:numCache>
                <c:formatCode>_("$"* #,##0.00_);_("$"* \(#,##0.00\);_("$"* "-"??_);_(@_)</c:formatCode>
                <c:ptCount val="10"/>
                <c:pt idx="0">
                  <c:v>4229.88</c:v>
                </c:pt>
                <c:pt idx="1">
                  <c:v>4229.88</c:v>
                </c:pt>
                <c:pt idx="2">
                  <c:v>5566.92</c:v>
                </c:pt>
                <c:pt idx="3">
                  <c:v>5566.92</c:v>
                </c:pt>
                <c:pt idx="4">
                  <c:v>7326.48</c:v>
                </c:pt>
                <c:pt idx="5">
                  <c:v>7326.48</c:v>
                </c:pt>
                <c:pt idx="6">
                  <c:v>9642.24</c:v>
                </c:pt>
                <c:pt idx="7">
                  <c:v>9642.24</c:v>
                </c:pt>
                <c:pt idx="8">
                  <c:v>12689.64</c:v>
                </c:pt>
                <c:pt idx="9">
                  <c:v>12689.64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32896"/>
        <c:axId val="87655552"/>
      </c:scatterChart>
      <c:valAx>
        <c:axId val="8763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655552"/>
        <c:crosses val="autoZero"/>
        <c:crossBetween val="midCat"/>
      </c:valAx>
      <c:valAx>
        <c:axId val="876555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87632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UC</a:t>
            </a:r>
            <a:r>
              <a:rPr lang="en-US" baseline="0"/>
              <a:t> Boulder Tution and Fees Repayment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Extended Fixed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'Repayment Plans'!$M$42:$M$66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Plans'!$N$42:$N$66</c:f>
              <c:numCache>
                <c:formatCode>_("$"* #,##0.00_);_("$"* \(#,##0.00\);_("$"* "-"??_);_(@_)</c:formatCode>
                <c:ptCount val="25"/>
                <c:pt idx="0">
                  <c:v>11245.32</c:v>
                </c:pt>
                <c:pt idx="1">
                  <c:v>11245.32</c:v>
                </c:pt>
                <c:pt idx="2">
                  <c:v>11245.32</c:v>
                </c:pt>
                <c:pt idx="3">
                  <c:v>11245.32</c:v>
                </c:pt>
                <c:pt idx="4">
                  <c:v>11245.32</c:v>
                </c:pt>
                <c:pt idx="5">
                  <c:v>11245.32</c:v>
                </c:pt>
                <c:pt idx="6">
                  <c:v>11245.32</c:v>
                </c:pt>
                <c:pt idx="7">
                  <c:v>11245.32</c:v>
                </c:pt>
                <c:pt idx="8">
                  <c:v>11245.32</c:v>
                </c:pt>
                <c:pt idx="9">
                  <c:v>11245.32</c:v>
                </c:pt>
                <c:pt idx="10">
                  <c:v>11245.32</c:v>
                </c:pt>
                <c:pt idx="11">
                  <c:v>11245.32</c:v>
                </c:pt>
                <c:pt idx="12">
                  <c:v>11245.32</c:v>
                </c:pt>
                <c:pt idx="13">
                  <c:v>11245.32</c:v>
                </c:pt>
                <c:pt idx="14">
                  <c:v>11245.32</c:v>
                </c:pt>
                <c:pt idx="15">
                  <c:v>11245.32</c:v>
                </c:pt>
                <c:pt idx="16">
                  <c:v>11245.32</c:v>
                </c:pt>
                <c:pt idx="17">
                  <c:v>11245.32</c:v>
                </c:pt>
                <c:pt idx="18">
                  <c:v>11245.32</c:v>
                </c:pt>
                <c:pt idx="19">
                  <c:v>11245.32</c:v>
                </c:pt>
                <c:pt idx="20">
                  <c:v>11245.32</c:v>
                </c:pt>
                <c:pt idx="21">
                  <c:v>11245.32</c:v>
                </c:pt>
                <c:pt idx="22">
                  <c:v>11245.32</c:v>
                </c:pt>
                <c:pt idx="23">
                  <c:v>11245.32</c:v>
                </c:pt>
                <c:pt idx="24">
                  <c:v>11245.32</c:v>
                </c:pt>
              </c:numCache>
            </c:numRef>
          </c:yVal>
          <c:smooth val="0"/>
        </c:ser>
        <c:ser>
          <c:idx val="1"/>
          <c:order val="1"/>
          <c:tx>
            <c:v>Extended Graduated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8034375641889423E-3"/>
                  <c:y val="-5.2376945447975429E-2"/>
                </c:manualLayout>
              </c:layout>
              <c:numFmt formatCode="General" sourceLinked="0"/>
            </c:trendlineLbl>
          </c:trendline>
          <c:xVal>
            <c:numRef>
              <c:f>'Repayment Plans'!$M$42:$M$66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Plans'!$O$42:$O$66</c:f>
              <c:numCache>
                <c:formatCode>_("$"* #,##0.00_);_("$"* \(#,##0.00\);_("$"* "-"??_);_(@_)</c:formatCode>
                <c:ptCount val="25"/>
                <c:pt idx="0">
                  <c:v>9181.08</c:v>
                </c:pt>
                <c:pt idx="1">
                  <c:v>9181.08</c:v>
                </c:pt>
                <c:pt idx="2">
                  <c:v>9619.2000000000007</c:v>
                </c:pt>
                <c:pt idx="3">
                  <c:v>9619.2000000000007</c:v>
                </c:pt>
                <c:pt idx="4">
                  <c:v>10078.44</c:v>
                </c:pt>
                <c:pt idx="5">
                  <c:v>10078.44</c:v>
                </c:pt>
                <c:pt idx="6">
                  <c:v>10559.52</c:v>
                </c:pt>
                <c:pt idx="7">
                  <c:v>10559.52</c:v>
                </c:pt>
                <c:pt idx="8">
                  <c:v>11063.52</c:v>
                </c:pt>
                <c:pt idx="9">
                  <c:v>11063.52</c:v>
                </c:pt>
                <c:pt idx="10">
                  <c:v>11591.52</c:v>
                </c:pt>
                <c:pt idx="11">
                  <c:v>11591.52</c:v>
                </c:pt>
                <c:pt idx="12">
                  <c:v>12144.72</c:v>
                </c:pt>
                <c:pt idx="13">
                  <c:v>12144.72</c:v>
                </c:pt>
                <c:pt idx="14">
                  <c:v>12724.32</c:v>
                </c:pt>
                <c:pt idx="15">
                  <c:v>12724.32</c:v>
                </c:pt>
                <c:pt idx="16">
                  <c:v>13331.64</c:v>
                </c:pt>
                <c:pt idx="17">
                  <c:v>13331.64</c:v>
                </c:pt>
                <c:pt idx="18">
                  <c:v>13967.880000000001</c:v>
                </c:pt>
                <c:pt idx="19">
                  <c:v>13967.880000000001</c:v>
                </c:pt>
                <c:pt idx="20">
                  <c:v>14634.599999999999</c:v>
                </c:pt>
                <c:pt idx="21">
                  <c:v>14634.599999999999</c:v>
                </c:pt>
                <c:pt idx="22">
                  <c:v>15333.119999999999</c:v>
                </c:pt>
                <c:pt idx="23">
                  <c:v>15333.119999999999</c:v>
                </c:pt>
                <c:pt idx="24">
                  <c:v>16064.880000000001</c:v>
                </c:pt>
              </c:numCache>
            </c:numRef>
          </c:yVal>
          <c:smooth val="0"/>
        </c:ser>
        <c:ser>
          <c:idx val="2"/>
          <c:order val="2"/>
          <c:tx>
            <c:v>Standard Fixed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'Repayment Plans'!$M$42:$M$66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Plans'!$P$42:$P$51</c:f>
              <c:numCache>
                <c:formatCode>_("$"* #,##0.00_);_("$"* \(#,##0.00\);_("$"* "-"??_);_(@_)</c:formatCode>
                <c:ptCount val="10"/>
                <c:pt idx="0">
                  <c:v>18645.239999999998</c:v>
                </c:pt>
                <c:pt idx="1">
                  <c:v>18645.239999999998</c:v>
                </c:pt>
                <c:pt idx="2">
                  <c:v>18645.239999999998</c:v>
                </c:pt>
                <c:pt idx="3">
                  <c:v>18645.239999999998</c:v>
                </c:pt>
                <c:pt idx="4">
                  <c:v>18645.239999999998</c:v>
                </c:pt>
                <c:pt idx="5">
                  <c:v>18645.239999999998</c:v>
                </c:pt>
                <c:pt idx="6">
                  <c:v>18645.239999999998</c:v>
                </c:pt>
                <c:pt idx="7">
                  <c:v>18645.239999999998</c:v>
                </c:pt>
                <c:pt idx="8">
                  <c:v>18645.239999999998</c:v>
                </c:pt>
                <c:pt idx="9">
                  <c:v>18645.239999999998</c:v>
                </c:pt>
              </c:numCache>
            </c:numRef>
          </c:yVal>
          <c:smooth val="0"/>
        </c:ser>
        <c:ser>
          <c:idx val="3"/>
          <c:order val="3"/>
          <c:tx>
            <c:v>Standard Graduated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'Repayment Plans'!$M$42:$M$66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'Repayment Plans'!$Q$42:$Q$51</c:f>
              <c:numCache>
                <c:formatCode>_("$"* #,##0.00_);_("$"* \(#,##0.00\);_("$"* "-"??_);_(@_)</c:formatCode>
                <c:ptCount val="10"/>
                <c:pt idx="0">
                  <c:v>10754.880000000001</c:v>
                </c:pt>
                <c:pt idx="1">
                  <c:v>10754.880000000001</c:v>
                </c:pt>
                <c:pt idx="2">
                  <c:v>14154.24</c:v>
                </c:pt>
                <c:pt idx="3">
                  <c:v>14154.24</c:v>
                </c:pt>
                <c:pt idx="4">
                  <c:v>18628.079999999998</c:v>
                </c:pt>
                <c:pt idx="5">
                  <c:v>18628.079999999998</c:v>
                </c:pt>
                <c:pt idx="6">
                  <c:v>24516</c:v>
                </c:pt>
                <c:pt idx="7">
                  <c:v>24516</c:v>
                </c:pt>
                <c:pt idx="8">
                  <c:v>32264.639999999999</c:v>
                </c:pt>
                <c:pt idx="9">
                  <c:v>32264.639999999999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92640"/>
        <c:axId val="87856256"/>
      </c:scatterChart>
      <c:valAx>
        <c:axId val="877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856256"/>
        <c:crosses val="autoZero"/>
        <c:crossBetween val="midCat"/>
      </c:valAx>
      <c:valAx>
        <c:axId val="878562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87792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503142</xdr:colOff>
      <xdr:row>9</xdr:row>
      <xdr:rowOff>134750</xdr:rowOff>
    </xdr:from>
    <xdr:to>
      <xdr:col>16</xdr:col>
      <xdr:colOff>103094</xdr:colOff>
      <xdr:row>31</xdr:row>
      <xdr:rowOff>129989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34687</xdr:colOff>
      <xdr:row>34</xdr:row>
      <xdr:rowOff>358001</xdr:rowOff>
    </xdr:from>
    <xdr:to>
      <xdr:col>16</xdr:col>
      <xdr:colOff>248568</xdr:colOff>
      <xdr:row>53</xdr:row>
      <xdr:rowOff>184387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76405</xdr:colOff>
      <xdr:row>55</xdr:row>
      <xdr:rowOff>560</xdr:rowOff>
    </xdr:from>
    <xdr:to>
      <xdr:col>16</xdr:col>
      <xdr:colOff>259773</xdr:colOff>
      <xdr:row>77</xdr:row>
      <xdr:rowOff>101873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0.64381</cdr:x>
      <cdr:y>0.23998</cdr:y>
    </cdr:from>
    <cdr:to>
      <cdr:x>1</cdr:x>
      <cdr:y>0.53887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8270" y="843254"/>
          <a:ext cx="2012859" cy="105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Tuition: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y = 845.2x + 12464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0.9483</a:t>
          </a:r>
          <a:endParaRPr lang="en-US" sz="1100"/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Tuition and Fees: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y = 1370.3x + 21397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0.9794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0.6492</cdr:x>
      <cdr:y>0.21805</cdr:y>
    </cdr:from>
    <cdr:to>
      <cdr:x>0.9937</cdr:x>
      <cdr:y>0.553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4433" y="751375"/>
          <a:ext cx="1949849" cy="1154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Tuition: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y = 716.12x + 5040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0.9942</a:t>
          </a:r>
          <a:endParaRPr lang="en-US">
            <a:effectLst/>
          </a:endParaRPr>
        </a:p>
        <a:p xmlns:a="http://schemas.openxmlformats.org/drawingml/2006/main">
          <a:endParaRPr lang="en-US" sz="1100"/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Tuition and Fees: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y = 1337.4x + 14579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0.9958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0.67119</cdr:x>
      <cdr:y>0.20485</cdr:y>
    </cdr:from>
    <cdr:to>
      <cdr:x>1</cdr:x>
      <cdr:y>0.49482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78418" y="918323"/>
          <a:ext cx="1851009" cy="1299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Tuition: y = 93.664x + 6401.3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0.9573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Tuition and Fees: y = 312.68x + 6847.6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R² = 0.8918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560294</xdr:colOff>
      <xdr:row>31</xdr:row>
      <xdr:rowOff>131108</xdr:rowOff>
    </xdr:from>
    <xdr:to>
      <xdr:col>33</xdr:col>
      <xdr:colOff>246531</xdr:colOff>
      <xdr:row>50</xdr:row>
      <xdr:rowOff>73960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15685</xdr:colOff>
      <xdr:row>54</xdr:row>
      <xdr:rowOff>43703</xdr:rowOff>
    </xdr:from>
    <xdr:to>
      <xdr:col>33</xdr:col>
      <xdr:colOff>311523</xdr:colOff>
      <xdr:row>74</xdr:row>
      <xdr:rowOff>154642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ronicle.com/article/Interactive-Tool-Tuition-Over/125043/" TargetMode="External"/><Relationship Id="rId2" Type="http://schemas.openxmlformats.org/officeDocument/2006/relationships/hyperlink" Target="http://www.collegefactual.com/colleges/university-of-colorado-boulder/paying-for-college/tuition-and-fees/" TargetMode="External"/><Relationship Id="rId1" Type="http://schemas.openxmlformats.org/officeDocument/2006/relationships/hyperlink" Target="http://www.collegefactual.com/colleges/humboldt-state-university/paying-for-college/room-and-board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abSelected="1" zoomScale="40" zoomScaleNormal="40" workbookViewId="0">
      <selection activeCell="Z17" sqref="Z17"/>
    </sheetView>
  </sheetViews>
  <sheetFormatPr defaultRowHeight="15" x14ac:dyDescent="0.25"/>
  <cols>
    <col min="1" max="1" width="14.85546875" bestFit="1" customWidth="1"/>
    <col min="2" max="2" width="25.42578125" customWidth="1"/>
    <col min="3" max="3" width="15.140625" customWidth="1"/>
    <col min="4" max="4" width="15.85546875" bestFit="1" customWidth="1"/>
    <col min="5" max="5" width="18" customWidth="1"/>
    <col min="6" max="6" width="16.42578125" bestFit="1" customWidth="1"/>
  </cols>
  <sheetData>
    <row r="1" spans="1:14" x14ac:dyDescent="0.25">
      <c r="A1" s="62" t="s">
        <v>70</v>
      </c>
      <c r="B1" s="63"/>
      <c r="C1" s="63"/>
      <c r="D1" t="s">
        <v>72</v>
      </c>
    </row>
    <row r="2" spans="1:14" x14ac:dyDescent="0.25">
      <c r="A2" s="63"/>
      <c r="B2" s="63"/>
      <c r="C2" s="63"/>
    </row>
    <row r="3" spans="1:14" x14ac:dyDescent="0.25">
      <c r="A3" s="63"/>
      <c r="B3" s="63"/>
      <c r="C3" s="63"/>
    </row>
    <row r="4" spans="1:14" x14ac:dyDescent="0.25">
      <c r="A4" s="59"/>
      <c r="B4" s="59"/>
      <c r="C4" s="59"/>
    </row>
    <row r="5" spans="1:14" x14ac:dyDescent="0.25">
      <c r="A5" s="59"/>
      <c r="B5" s="59"/>
      <c r="C5" s="59"/>
    </row>
    <row r="6" spans="1:14" x14ac:dyDescent="0.25">
      <c r="A6" t="s">
        <v>4</v>
      </c>
      <c r="B6" s="1" t="s">
        <v>18</v>
      </c>
      <c r="C6" s="1"/>
      <c r="D6" s="1"/>
    </row>
    <row r="7" spans="1:14" x14ac:dyDescent="0.25">
      <c r="A7" t="s">
        <v>6</v>
      </c>
      <c r="B7" s="1" t="s">
        <v>19</v>
      </c>
      <c r="C7" s="1" t="s">
        <v>23</v>
      </c>
      <c r="D7" s="1"/>
    </row>
    <row r="8" spans="1:14" x14ac:dyDescent="0.25">
      <c r="A8" t="s">
        <v>5</v>
      </c>
      <c r="B8" s="1" t="s">
        <v>20</v>
      </c>
      <c r="C8" s="1"/>
      <c r="D8" s="1"/>
    </row>
    <row r="9" spans="1:14" x14ac:dyDescent="0.25">
      <c r="A9" t="s">
        <v>17</v>
      </c>
      <c r="B9" s="1" t="s">
        <v>25</v>
      </c>
      <c r="C9" s="6" t="s">
        <v>26</v>
      </c>
      <c r="D9" s="6"/>
    </row>
    <row r="10" spans="1:14" ht="42" customHeight="1" x14ac:dyDescent="0.25">
      <c r="A10" s="2" t="s">
        <v>0</v>
      </c>
      <c r="B10" s="2" t="s">
        <v>1</v>
      </c>
      <c r="C10" s="2" t="s">
        <v>2</v>
      </c>
      <c r="D10" s="2" t="s">
        <v>32</v>
      </c>
      <c r="E10" s="2" t="s">
        <v>3</v>
      </c>
      <c r="F10" s="2" t="s">
        <v>33</v>
      </c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" t="s">
        <v>7</v>
      </c>
      <c r="B11" s="4"/>
      <c r="C11" s="9"/>
      <c r="D11" s="9"/>
      <c r="E11" s="11"/>
      <c r="F11" s="3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" t="s">
        <v>8</v>
      </c>
      <c r="B12" s="4"/>
      <c r="C12" s="9"/>
      <c r="D12" s="9"/>
      <c r="E12" s="11"/>
      <c r="F12" s="3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 t="s">
        <v>9</v>
      </c>
      <c r="B13" s="4">
        <v>1</v>
      </c>
      <c r="C13" s="3">
        <v>13345</v>
      </c>
      <c r="D13" s="3"/>
      <c r="E13" s="5">
        <v>23009</v>
      </c>
      <c r="F13" s="14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" t="s">
        <v>10</v>
      </c>
      <c r="B14" s="4">
        <v>2</v>
      </c>
      <c r="C14" s="3">
        <v>14013</v>
      </c>
      <c r="D14" s="14">
        <f>(C14/C13)-1</f>
        <v>5.0056200824278863E-2</v>
      </c>
      <c r="E14" s="5">
        <v>23849</v>
      </c>
      <c r="F14" s="14">
        <f>(E14/E13)-1</f>
        <v>3.6507453605111095E-2</v>
      </c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 t="s">
        <v>11</v>
      </c>
      <c r="B15" s="4">
        <v>3</v>
      </c>
      <c r="C15" s="3">
        <v>14318</v>
      </c>
      <c r="D15" s="14">
        <f t="shared" ref="D15:D24" si="0">(C15/C14)-1</f>
        <v>2.1765503461071756E-2</v>
      </c>
      <c r="E15" s="5">
        <v>24760</v>
      </c>
      <c r="F15" s="14">
        <f t="shared" ref="F15:F24" si="1">(E15/E14)-1</f>
        <v>3.8198666610759435E-2</v>
      </c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12</v>
      </c>
      <c r="B16" s="4">
        <v>4</v>
      </c>
      <c r="C16" s="3">
        <v>16331</v>
      </c>
      <c r="D16" s="14">
        <f t="shared" si="0"/>
        <v>0.1405922614890347</v>
      </c>
      <c r="E16" s="5">
        <v>27369</v>
      </c>
      <c r="F16" s="14">
        <f t="shared" si="1"/>
        <v>0.10537156704361883</v>
      </c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 t="s">
        <v>13</v>
      </c>
      <c r="B17" s="4">
        <v>5</v>
      </c>
      <c r="C17" s="5">
        <v>16910</v>
      </c>
      <c r="D17" s="14">
        <f t="shared" si="0"/>
        <v>3.5454044455330402E-2</v>
      </c>
      <c r="E17" s="5">
        <v>28424</v>
      </c>
      <c r="F17" s="14">
        <f t="shared" si="1"/>
        <v>3.8547261500237573E-2</v>
      </c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14</v>
      </c>
      <c r="B18" s="4">
        <v>6</v>
      </c>
      <c r="C18" s="5">
        <v>18222</v>
      </c>
      <c r="D18" s="14">
        <f t="shared" si="0"/>
        <v>7.7587226493199379E-2</v>
      </c>
      <c r="E18" s="5">
        <v>30252</v>
      </c>
      <c r="F18" s="14">
        <f t="shared" si="1"/>
        <v>6.4311849141570399E-2</v>
      </c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15</v>
      </c>
      <c r="B19" s="4">
        <v>7</v>
      </c>
      <c r="C19" s="8">
        <v>18400</v>
      </c>
      <c r="D19" s="14">
        <f t="shared" si="0"/>
        <v>9.7684118099001793E-3</v>
      </c>
      <c r="E19" s="5">
        <v>31015</v>
      </c>
      <c r="F19" s="14">
        <f t="shared" si="1"/>
        <v>2.5221472960465396E-2</v>
      </c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 t="s">
        <v>16</v>
      </c>
      <c r="B20" s="4">
        <v>8</v>
      </c>
      <c r="C20" s="5">
        <v>18598</v>
      </c>
      <c r="D20" s="14">
        <f t="shared" si="0"/>
        <v>1.076086956521749E-2</v>
      </c>
      <c r="E20" s="5">
        <v>31829</v>
      </c>
      <c r="F20" s="14">
        <f t="shared" si="1"/>
        <v>2.6245365145897148E-2</v>
      </c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2" t="s">
        <v>40</v>
      </c>
      <c r="B21" s="4">
        <v>9</v>
      </c>
      <c r="C21" s="5">
        <f>845.2*B21+12464</f>
        <v>20070.8</v>
      </c>
      <c r="D21" s="14">
        <f t="shared" si="0"/>
        <v>7.9191310893644395E-2</v>
      </c>
      <c r="E21" s="5">
        <f>1370.3*B21+21397</f>
        <v>33729.699999999997</v>
      </c>
      <c r="F21" s="14">
        <f t="shared" si="1"/>
        <v>5.9715982280310387E-2</v>
      </c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 t="s">
        <v>41</v>
      </c>
      <c r="B22" s="4">
        <v>10</v>
      </c>
      <c r="C22" s="5">
        <f t="shared" ref="C22:C24" si="2">845.2*B22+12464</f>
        <v>20916</v>
      </c>
      <c r="D22" s="14">
        <f t="shared" si="0"/>
        <v>4.211092731729682E-2</v>
      </c>
      <c r="E22" s="5">
        <f t="shared" ref="E22:E24" si="3">1370.3*B22+21397</f>
        <v>35100</v>
      </c>
      <c r="F22" s="14">
        <f t="shared" si="1"/>
        <v>4.0625917218356511E-2</v>
      </c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 t="s">
        <v>42</v>
      </c>
      <c r="B23" s="4">
        <v>11</v>
      </c>
      <c r="C23" s="5">
        <f t="shared" si="2"/>
        <v>21761.200000000001</v>
      </c>
      <c r="D23" s="14">
        <f t="shared" si="0"/>
        <v>4.0409256071906707E-2</v>
      </c>
      <c r="E23" s="5">
        <f t="shared" si="3"/>
        <v>36470.300000000003</v>
      </c>
      <c r="F23" s="14">
        <f t="shared" si="1"/>
        <v>3.9039886039886174E-2</v>
      </c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 t="s">
        <v>43</v>
      </c>
      <c r="B24" s="4">
        <v>12</v>
      </c>
      <c r="C24" s="5">
        <f t="shared" si="2"/>
        <v>22606.400000000001</v>
      </c>
      <c r="D24" s="14">
        <f t="shared" si="0"/>
        <v>3.8839769865632423E-2</v>
      </c>
      <c r="E24" s="5">
        <f t="shared" si="3"/>
        <v>37840.6</v>
      </c>
      <c r="F24" s="14">
        <f t="shared" si="1"/>
        <v>3.7573038883694343E-2</v>
      </c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64" t="s">
        <v>36</v>
      </c>
      <c r="B25" s="64"/>
      <c r="C25" s="16">
        <f>SUM(C21:C24)</f>
        <v>85354.4</v>
      </c>
      <c r="D25" s="17"/>
      <c r="E25" s="16"/>
      <c r="F25" s="17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65" t="s">
        <v>44</v>
      </c>
      <c r="B26" s="65"/>
      <c r="C26" s="16">
        <f>SUM(E21:E24)</f>
        <v>143140.6</v>
      </c>
      <c r="D26" s="17"/>
      <c r="E26" s="16"/>
      <c r="F26" s="17"/>
      <c r="G26" s="1"/>
      <c r="H26" s="1"/>
      <c r="I26" s="1"/>
      <c r="J26" s="1"/>
      <c r="K26" s="1"/>
      <c r="L26" s="1"/>
      <c r="M26" s="1"/>
      <c r="N26" s="1"/>
    </row>
    <row r="27" spans="1:14" ht="45" x14ac:dyDescent="0.25">
      <c r="A27" s="24"/>
      <c r="B27" s="24"/>
      <c r="C27" s="23" t="s">
        <v>46</v>
      </c>
      <c r="D27" s="33">
        <f>AVERAGE(D14:D20)</f>
        <v>4.9426359728290396E-2</v>
      </c>
      <c r="E27" s="23" t="s">
        <v>46</v>
      </c>
      <c r="F27" s="33">
        <f>AVERAGE(F14:F20)</f>
        <v>4.7771948001094265E-2</v>
      </c>
      <c r="G27" s="1"/>
      <c r="H27" s="1"/>
      <c r="I27" s="1"/>
      <c r="J27" s="1"/>
      <c r="K27" s="1"/>
      <c r="L27" s="1"/>
      <c r="M27" s="1"/>
      <c r="N27" s="1"/>
    </row>
    <row r="28" spans="1:14" ht="45" x14ac:dyDescent="0.25">
      <c r="A28" s="1" t="s">
        <v>34</v>
      </c>
      <c r="B28" s="1" t="s">
        <v>12</v>
      </c>
      <c r="C28" s="20" t="s">
        <v>45</v>
      </c>
      <c r="D28" s="22">
        <f>AVERAGE(D21:D24)</f>
        <v>5.0137816037120086E-2</v>
      </c>
      <c r="E28" s="20" t="s">
        <v>45</v>
      </c>
      <c r="F28" s="21">
        <f>AVERAGE(F21:F24)</f>
        <v>4.4238706105561854E-2</v>
      </c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t="s">
        <v>4</v>
      </c>
      <c r="B31" t="s">
        <v>37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t="s">
        <v>6</v>
      </c>
      <c r="B32" t="s">
        <v>19</v>
      </c>
      <c r="C32" t="s">
        <v>22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t="s">
        <v>5</v>
      </c>
      <c r="B33" t="s">
        <v>21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t="s">
        <v>17</v>
      </c>
      <c r="B34" t="s">
        <v>25</v>
      </c>
      <c r="C34" s="6" t="s">
        <v>27</v>
      </c>
      <c r="D34" s="6"/>
      <c r="F34" s="1"/>
      <c r="G34" s="1"/>
      <c r="H34" s="1"/>
      <c r="I34" s="1"/>
      <c r="J34" s="1"/>
      <c r="K34" s="1"/>
      <c r="L34" s="1"/>
      <c r="M34" s="1"/>
      <c r="N34" s="1"/>
    </row>
    <row r="35" spans="1:14" ht="30" x14ac:dyDescent="0.25">
      <c r="A35" s="2" t="s">
        <v>0</v>
      </c>
      <c r="B35" s="2" t="s">
        <v>1</v>
      </c>
      <c r="C35" s="2" t="s">
        <v>2</v>
      </c>
      <c r="D35" s="2" t="s">
        <v>32</v>
      </c>
      <c r="E35" s="2" t="s">
        <v>3</v>
      </c>
      <c r="F35" s="2" t="s">
        <v>33</v>
      </c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2" t="s">
        <v>7</v>
      </c>
      <c r="B36" s="4"/>
      <c r="C36" s="9"/>
      <c r="D36" s="9"/>
      <c r="E36" s="10"/>
      <c r="F36" s="3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2" t="s">
        <v>8</v>
      </c>
      <c r="B37" s="4"/>
      <c r="C37" s="9"/>
      <c r="D37" s="9"/>
      <c r="E37" s="10"/>
      <c r="F37" s="3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2" t="s">
        <v>9</v>
      </c>
      <c r="B38" s="4">
        <v>1</v>
      </c>
      <c r="C38" s="7">
        <v>5643</v>
      </c>
      <c r="D38" s="15"/>
      <c r="E38" s="5">
        <v>15641</v>
      </c>
      <c r="F38" s="2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2" t="s">
        <v>10</v>
      </c>
      <c r="B39" s="4">
        <v>2</v>
      </c>
      <c r="C39" s="3">
        <v>6635</v>
      </c>
      <c r="D39" s="14">
        <f>(C39/C38)-1</f>
        <v>0.17579301789828095</v>
      </c>
      <c r="E39" s="5">
        <v>15641</v>
      </c>
      <c r="F39" s="14">
        <f>(E39/E38)-1</f>
        <v>0</v>
      </c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2" t="s">
        <v>11</v>
      </c>
      <c r="B40" s="4">
        <v>3</v>
      </c>
      <c r="C40" s="3">
        <v>7278</v>
      </c>
      <c r="D40" s="14">
        <f t="shared" ref="D40:D49" si="4">(C40/C39)-1</f>
        <v>9.6910324039186202E-2</v>
      </c>
      <c r="E40" s="5">
        <v>18887</v>
      </c>
      <c r="F40" s="14">
        <f t="shared" ref="F40:F50" si="5">(E40/E39)-1</f>
        <v>0.20753148775653729</v>
      </c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2" t="s">
        <v>12</v>
      </c>
      <c r="B41" s="4">
        <v>4</v>
      </c>
      <c r="C41" s="3">
        <v>7932</v>
      </c>
      <c r="D41" s="14">
        <f t="shared" si="4"/>
        <v>8.9859851607584584E-2</v>
      </c>
      <c r="E41" s="5">
        <v>20059</v>
      </c>
      <c r="F41" s="14">
        <f t="shared" si="5"/>
        <v>6.2053264149944498E-2</v>
      </c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2" t="s">
        <v>13</v>
      </c>
      <c r="B42" s="4">
        <v>5</v>
      </c>
      <c r="C42" s="3">
        <v>8511</v>
      </c>
      <c r="D42" s="14">
        <f t="shared" si="4"/>
        <v>7.2995461422087793E-2</v>
      </c>
      <c r="E42" s="5">
        <v>21051</v>
      </c>
      <c r="F42" s="14">
        <f t="shared" si="5"/>
        <v>4.945411037439551E-2</v>
      </c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2" t="s">
        <v>14</v>
      </c>
      <c r="B43" s="4">
        <v>6</v>
      </c>
      <c r="C43" s="3">
        <v>9152</v>
      </c>
      <c r="D43" s="14">
        <f t="shared" si="4"/>
        <v>7.5314299142286378E-2</v>
      </c>
      <c r="E43" s="3">
        <v>22422</v>
      </c>
      <c r="F43" s="14">
        <f t="shared" si="5"/>
        <v>6.5127547384922435E-2</v>
      </c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2" t="s">
        <v>15</v>
      </c>
      <c r="B44" s="4">
        <v>7</v>
      </c>
      <c r="C44" s="3">
        <v>10007</v>
      </c>
      <c r="D44" s="14">
        <f t="shared" si="4"/>
        <v>9.3422202797202702E-2</v>
      </c>
      <c r="E44" s="3">
        <v>23869</v>
      </c>
      <c r="F44" s="14">
        <f t="shared" si="5"/>
        <v>6.4534831861564612E-2</v>
      </c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2" t="s">
        <v>16</v>
      </c>
      <c r="B45" s="4">
        <v>8</v>
      </c>
      <c r="C45" s="3">
        <v>10942</v>
      </c>
      <c r="D45" s="14">
        <f t="shared" si="4"/>
        <v>9.3434595782951879E-2</v>
      </c>
      <c r="E45" s="3">
        <v>25427</v>
      </c>
      <c r="F45" s="14">
        <f t="shared" si="5"/>
        <v>6.5272948175457701E-2</v>
      </c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2" t="s">
        <v>39</v>
      </c>
      <c r="B46" s="4">
        <v>9</v>
      </c>
      <c r="C46" s="3">
        <f>716.12*(B46)+5040</f>
        <v>11485.08</v>
      </c>
      <c r="D46" s="14">
        <f t="shared" si="4"/>
        <v>4.9632608298300074E-2</v>
      </c>
      <c r="E46" s="3">
        <f>1667.4*(B46)+14579</f>
        <v>29585.599999999999</v>
      </c>
      <c r="F46" s="14">
        <f t="shared" si="5"/>
        <v>0.16355055649506434</v>
      </c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2" t="s">
        <v>40</v>
      </c>
      <c r="B47" s="4">
        <v>10</v>
      </c>
      <c r="C47" s="3">
        <f>716.12*(B47)+5040</f>
        <v>12201.2</v>
      </c>
      <c r="D47" s="14">
        <f>(C47/C46)-1</f>
        <v>6.2352199549328358E-2</v>
      </c>
      <c r="E47" s="3">
        <f t="shared" ref="E47:E50" si="6">1667.4*(B47)+14579</f>
        <v>31253</v>
      </c>
      <c r="F47" s="14">
        <f t="shared" si="5"/>
        <v>5.6358498729111473E-2</v>
      </c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" t="s">
        <v>41</v>
      </c>
      <c r="B48" s="4">
        <v>11</v>
      </c>
      <c r="C48" s="3">
        <f t="shared" ref="C48:C50" si="7">716.12*(B48)+5040</f>
        <v>12917.32</v>
      </c>
      <c r="D48" s="14">
        <f t="shared" si="4"/>
        <v>5.8692587614332936E-2</v>
      </c>
      <c r="E48" s="3">
        <f t="shared" si="6"/>
        <v>32920.400000000001</v>
      </c>
      <c r="F48" s="14">
        <f t="shared" si="5"/>
        <v>5.33516782388892E-2</v>
      </c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" t="s">
        <v>42</v>
      </c>
      <c r="B49" s="4">
        <v>12</v>
      </c>
      <c r="C49" s="3">
        <f t="shared" si="7"/>
        <v>13633.44</v>
      </c>
      <c r="D49" s="14">
        <f t="shared" si="4"/>
        <v>5.5438744259645345E-2</v>
      </c>
      <c r="E49" s="3">
        <f t="shared" si="6"/>
        <v>34587.800000000003</v>
      </c>
      <c r="F49" s="14">
        <f t="shared" si="5"/>
        <v>5.0649445328732279E-2</v>
      </c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" t="s">
        <v>43</v>
      </c>
      <c r="B50" s="4">
        <v>13</v>
      </c>
      <c r="C50" s="3">
        <f t="shared" si="7"/>
        <v>14349.56</v>
      </c>
      <c r="D50" s="14">
        <f>(C50/C49)-1</f>
        <v>5.2526728397235045E-2</v>
      </c>
      <c r="E50" s="3">
        <f t="shared" si="6"/>
        <v>36255.199999999997</v>
      </c>
      <c r="F50" s="14">
        <f t="shared" si="5"/>
        <v>4.8207749553310641E-2</v>
      </c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64" t="s">
        <v>36</v>
      </c>
      <c r="B51" s="64"/>
      <c r="C51" s="23">
        <f>SUM(C47:C50)</f>
        <v>53101.52</v>
      </c>
      <c r="D51" s="17"/>
      <c r="E51" s="23"/>
      <c r="F51" s="17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65" t="s">
        <v>44</v>
      </c>
      <c r="B52" s="65"/>
      <c r="C52" s="18">
        <f>SUM(E47:E50)</f>
        <v>135016.40000000002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5" x14ac:dyDescent="0.25">
      <c r="A53" s="24"/>
      <c r="B53" s="24"/>
      <c r="C53" s="23" t="s">
        <v>46</v>
      </c>
      <c r="D53" s="34">
        <f>AVERAGE(D39:D46)</f>
        <v>9.342029512348507E-2</v>
      </c>
      <c r="E53" s="23" t="s">
        <v>46</v>
      </c>
      <c r="F53" s="34">
        <f>AVERAGE(F39:F46)</f>
        <v>8.4690593274735798E-2</v>
      </c>
      <c r="G53" s="1"/>
      <c r="H53" s="1"/>
      <c r="I53" s="1"/>
      <c r="J53" s="1"/>
      <c r="K53" s="1"/>
      <c r="L53" s="1"/>
      <c r="M53" s="1"/>
      <c r="N53" s="1"/>
    </row>
    <row r="54" spans="1:14" ht="45" x14ac:dyDescent="0.25">
      <c r="A54" s="1" t="s">
        <v>34</v>
      </c>
      <c r="B54" s="1" t="s">
        <v>10</v>
      </c>
      <c r="C54" s="30" t="s">
        <v>45</v>
      </c>
      <c r="D54" s="21">
        <f>AVERAGE(D47:D50)</f>
        <v>5.7252564955135421E-2</v>
      </c>
      <c r="E54" s="30" t="s">
        <v>45</v>
      </c>
      <c r="F54" s="21">
        <f>AVERAGE(F47:F50)</f>
        <v>5.2141842962510898E-2</v>
      </c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t="s">
        <v>4</v>
      </c>
      <c r="B56" t="s">
        <v>28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t="s">
        <v>6</v>
      </c>
      <c r="B57" t="s">
        <v>24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t="s">
        <v>5</v>
      </c>
      <c r="B58" t="s">
        <v>29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t="s">
        <v>17</v>
      </c>
      <c r="B59" s="1" t="s">
        <v>31</v>
      </c>
      <c r="C59" s="6" t="s">
        <v>30</v>
      </c>
      <c r="D59" s="6"/>
      <c r="F59" s="1"/>
      <c r="G59" s="1"/>
      <c r="H59" s="1"/>
      <c r="I59" s="1"/>
      <c r="J59" s="1"/>
      <c r="K59" s="1"/>
      <c r="L59" s="1"/>
      <c r="M59" s="1"/>
      <c r="N59" s="1"/>
    </row>
    <row r="60" spans="1:14" ht="30" x14ac:dyDescent="0.25">
      <c r="A60" s="2" t="s">
        <v>0</v>
      </c>
      <c r="B60" s="2" t="s">
        <v>1</v>
      </c>
      <c r="C60" s="2" t="s">
        <v>2</v>
      </c>
      <c r="D60" s="2" t="s">
        <v>32</v>
      </c>
      <c r="E60" s="2" t="s">
        <v>3</v>
      </c>
      <c r="F60" s="2" t="s">
        <v>33</v>
      </c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2" t="s">
        <v>7</v>
      </c>
      <c r="B61" s="4">
        <v>1</v>
      </c>
      <c r="C61" s="5">
        <v>6467</v>
      </c>
      <c r="D61" s="5"/>
      <c r="E61" s="3">
        <v>7432</v>
      </c>
      <c r="F61" s="2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2" t="s">
        <v>8</v>
      </c>
      <c r="B62" s="4">
        <v>2</v>
      </c>
      <c r="C62" s="5">
        <v>6589</v>
      </c>
      <c r="D62" s="15">
        <f>(C62/C61)-1</f>
        <v>1.8865006958404207E-2</v>
      </c>
      <c r="E62" s="3">
        <v>7267</v>
      </c>
      <c r="F62" s="14">
        <f>(E62/E61)-1</f>
        <v>-2.2201291711517745E-2</v>
      </c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2" t="s">
        <v>9</v>
      </c>
      <c r="B63" s="4">
        <v>3</v>
      </c>
      <c r="C63" s="5">
        <v>6741</v>
      </c>
      <c r="D63" s="15">
        <f t="shared" ref="D63:D67" si="8">(C63/C62)-1</f>
        <v>2.3068750948550543E-2</v>
      </c>
      <c r="E63" s="3">
        <v>7898</v>
      </c>
      <c r="F63" s="14">
        <f t="shared" ref="F63:F67" si="9">(E63/E62)-1</f>
        <v>8.6830879317462584E-2</v>
      </c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2" t="s">
        <v>10</v>
      </c>
      <c r="B64" s="4">
        <v>4</v>
      </c>
      <c r="C64" s="10"/>
      <c r="D64" s="32"/>
      <c r="E64" s="3">
        <v>7925</v>
      </c>
      <c r="F64" s="14">
        <f t="shared" si="9"/>
        <v>3.4185869840466232E-3</v>
      </c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2" t="s">
        <v>11</v>
      </c>
      <c r="B65" s="4">
        <v>5</v>
      </c>
      <c r="C65" s="10"/>
      <c r="D65" s="32"/>
      <c r="E65" s="3">
        <v>8223</v>
      </c>
      <c r="F65" s="14">
        <f t="shared" si="9"/>
        <v>3.7602523659306053E-2</v>
      </c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" t="s">
        <v>12</v>
      </c>
      <c r="B66" s="4">
        <v>6</v>
      </c>
      <c r="C66" s="5">
        <v>6894</v>
      </c>
      <c r="D66" s="15"/>
      <c r="E66" s="3">
        <v>8569</v>
      </c>
      <c r="F66" s="14">
        <f t="shared" si="9"/>
        <v>4.2077100814787771E-2</v>
      </c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" t="s">
        <v>13</v>
      </c>
      <c r="B67" s="4">
        <v>7</v>
      </c>
      <c r="C67" s="5">
        <v>7095</v>
      </c>
      <c r="D67" s="15">
        <f t="shared" si="8"/>
        <v>2.9155787641427233E-2</v>
      </c>
      <c r="E67" s="3">
        <v>9374</v>
      </c>
      <c r="F67" s="14">
        <f t="shared" si="9"/>
        <v>9.3943283930447041E-2</v>
      </c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" t="s">
        <v>14</v>
      </c>
      <c r="B68" s="4">
        <v>8</v>
      </c>
      <c r="C68" s="11"/>
      <c r="D68" s="11"/>
      <c r="E68" s="9"/>
      <c r="F68" s="3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" t="s">
        <v>15</v>
      </c>
      <c r="B69" s="4">
        <v>9</v>
      </c>
      <c r="C69" s="11"/>
      <c r="D69" s="11"/>
      <c r="E69" s="9"/>
      <c r="F69" s="3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28" t="s">
        <v>16</v>
      </c>
      <c r="B70" s="29">
        <v>10</v>
      </c>
      <c r="C70" s="13">
        <v>9000</v>
      </c>
      <c r="D70" s="19">
        <f>(C70/C67)-1</f>
        <v>0.2684989429175475</v>
      </c>
      <c r="E70" s="12">
        <v>10560</v>
      </c>
      <c r="F70" s="14">
        <f>(E70/E67)-1</f>
        <v>0.12652016215062933</v>
      </c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2" t="s">
        <v>40</v>
      </c>
      <c r="B71" s="4">
        <v>11</v>
      </c>
      <c r="C71" s="13">
        <f>93.664*B71+6401.3</f>
        <v>7431.6040000000003</v>
      </c>
      <c r="D71" s="19">
        <f>(C71/C70)-1</f>
        <v>-0.17426622222222221</v>
      </c>
      <c r="E71" s="12">
        <f>312.68*B71+6847.6</f>
        <v>10287.08</v>
      </c>
      <c r="F71" s="14">
        <f>(E71/E70)-1</f>
        <v>-2.5844696969696934E-2</v>
      </c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2" t="s">
        <v>41</v>
      </c>
      <c r="B72" s="29">
        <v>12</v>
      </c>
      <c r="C72" s="13">
        <f t="shared" ref="C72:C74" si="10">93.664*B72+6401.3</f>
        <v>7525.268</v>
      </c>
      <c r="D72" s="19">
        <f t="shared" ref="D72:D74" si="11">(C72/C71)-1</f>
        <v>1.2603470260255989E-2</v>
      </c>
      <c r="E72" s="12">
        <f t="shared" ref="E72:E74" si="12">312.68*B72+6847.6</f>
        <v>10599.76</v>
      </c>
      <c r="F72" s="14">
        <f t="shared" ref="F72:F74" si="13">(E72/E71)-1</f>
        <v>3.0395408609634744E-2</v>
      </c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2" t="s">
        <v>42</v>
      </c>
      <c r="B73" s="4">
        <v>13</v>
      </c>
      <c r="C73" s="13">
        <f t="shared" si="10"/>
        <v>7618.9320000000007</v>
      </c>
      <c r="D73" s="19">
        <f t="shared" si="11"/>
        <v>1.2446599908468414E-2</v>
      </c>
      <c r="E73" s="12">
        <f t="shared" si="12"/>
        <v>10912.44</v>
      </c>
      <c r="F73" s="14">
        <f t="shared" si="13"/>
        <v>2.9498781104477789E-2</v>
      </c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2" t="s">
        <v>43</v>
      </c>
      <c r="B74" s="4">
        <v>14</v>
      </c>
      <c r="C74" s="13">
        <f t="shared" si="10"/>
        <v>7712.5960000000005</v>
      </c>
      <c r="D74" s="19">
        <f t="shared" si="11"/>
        <v>1.2293586555175873E-2</v>
      </c>
      <c r="E74" s="12">
        <f t="shared" si="12"/>
        <v>11225.12</v>
      </c>
      <c r="F74" s="14">
        <f t="shared" si="13"/>
        <v>2.8653536697567095E-2</v>
      </c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64" t="s">
        <v>38</v>
      </c>
      <c r="B75" s="64"/>
      <c r="C75" s="25">
        <f>SUM(C71:C72)</f>
        <v>14956.871999999999</v>
      </c>
      <c r="D75" s="26"/>
      <c r="E75" s="27"/>
      <c r="F75" s="17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66" t="s">
        <v>53</v>
      </c>
      <c r="B76" s="66"/>
      <c r="C76" s="18">
        <f>SUM(E71:E72)</f>
        <v>20886.84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45" x14ac:dyDescent="0.25">
      <c r="A77" s="24"/>
      <c r="B77" s="24"/>
      <c r="C77" s="23" t="s">
        <v>47</v>
      </c>
      <c r="D77" s="34">
        <f>AVERAGE(D62:D63,D67,D70)</f>
        <v>8.4897122116482371E-2</v>
      </c>
      <c r="E77" s="23" t="s">
        <v>48</v>
      </c>
      <c r="F77" s="34">
        <f>AVERAGE(F62:F67,F70)</f>
        <v>5.2598749306451663E-2</v>
      </c>
      <c r="G77" s="1"/>
      <c r="H77" s="1"/>
      <c r="I77" s="1"/>
      <c r="J77" s="1"/>
      <c r="K77" s="1"/>
      <c r="L77" s="1"/>
      <c r="M77" s="1"/>
      <c r="N77" s="1"/>
    </row>
    <row r="78" spans="1:14" ht="30" x14ac:dyDescent="0.25">
      <c r="A78" s="1" t="s">
        <v>34</v>
      </c>
      <c r="B78" s="1" t="s">
        <v>10</v>
      </c>
      <c r="C78" s="20" t="s">
        <v>35</v>
      </c>
      <c r="D78" s="21">
        <f>AVERAGE(D71:D74)</f>
        <v>-3.4230641374580484E-2</v>
      </c>
      <c r="E78" s="20" t="s">
        <v>35</v>
      </c>
      <c r="F78" s="21">
        <f>AVERAGE(F71:F74)</f>
        <v>1.5675757360495673E-2</v>
      </c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</row>
    <row r="249" spans="1:14" x14ac:dyDescent="0.25">
      <c r="A249" s="1"/>
      <c r="B249" s="1"/>
      <c r="C249" s="1"/>
      <c r="D249" s="1"/>
      <c r="E249" s="1"/>
      <c r="F249" s="1"/>
      <c r="G249" s="1"/>
    </row>
    <row r="250" spans="1:14" x14ac:dyDescent="0.25">
      <c r="A250" s="1"/>
      <c r="B250" s="1"/>
      <c r="C250" s="1"/>
      <c r="D250" s="1"/>
      <c r="E250" s="1"/>
      <c r="F250" s="1"/>
      <c r="G250" s="1"/>
    </row>
    <row r="251" spans="1:14" x14ac:dyDescent="0.25">
      <c r="A251" s="1"/>
      <c r="B251" s="1"/>
      <c r="C251" s="1"/>
      <c r="D251" s="1"/>
      <c r="E251" s="1"/>
      <c r="F251" s="1"/>
      <c r="G251" s="1"/>
    </row>
    <row r="252" spans="1:14" x14ac:dyDescent="0.25">
      <c r="A252" s="1"/>
      <c r="B252" s="1"/>
      <c r="C252" s="1"/>
      <c r="D252" s="1"/>
      <c r="E252" s="1"/>
      <c r="F252" s="1"/>
      <c r="G252" s="1"/>
    </row>
  </sheetData>
  <mergeCells count="7">
    <mergeCell ref="A1:C3"/>
    <mergeCell ref="A25:B25"/>
    <mergeCell ref="A26:B26"/>
    <mergeCell ref="A51:B51"/>
    <mergeCell ref="A76:B76"/>
    <mergeCell ref="A52:B52"/>
    <mergeCell ref="A75:B75"/>
  </mergeCells>
  <hyperlinks>
    <hyperlink ref="C9" r:id="rId1"/>
    <hyperlink ref="C34" r:id="rId2"/>
    <hyperlink ref="C59" r:id="rId3"/>
  </hyperlinks>
  <pageMargins left="0.7" right="0.7" top="0.75" bottom="0.75" header="0.3" footer="0.3"/>
  <pageSetup orientation="portrait" horizontalDpi="1200" verticalDpi="1200" r:id="rId4"/>
  <ignoredErrors>
    <ignoredError sqref="E46:E50 E21:E23 E24 E71:E74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zoomScale="25" zoomScaleNormal="25" workbookViewId="0">
      <selection activeCell="K55" sqref="K55"/>
    </sheetView>
  </sheetViews>
  <sheetFormatPr defaultRowHeight="15" x14ac:dyDescent="0.25"/>
  <cols>
    <col min="1" max="1" width="7" customWidth="1"/>
    <col min="2" max="2" width="12.7109375" bestFit="1" customWidth="1"/>
    <col min="3" max="3" width="12.28515625" customWidth="1"/>
    <col min="4" max="4" width="12.42578125" customWidth="1"/>
    <col min="5" max="7" width="11.5703125" customWidth="1"/>
    <col min="8" max="8" width="17.5703125" bestFit="1" customWidth="1"/>
    <col min="9" max="9" width="14.7109375" customWidth="1"/>
    <col min="10" max="10" width="10.85546875" bestFit="1" customWidth="1"/>
    <col min="13" max="13" width="7" customWidth="1"/>
    <col min="14" max="14" width="12.7109375" bestFit="1" customWidth="1"/>
    <col min="15" max="15" width="12.28515625" customWidth="1"/>
    <col min="16" max="16" width="12.42578125" customWidth="1"/>
    <col min="17" max="17" width="11.5703125" customWidth="1"/>
    <col min="18" max="18" width="12.42578125" customWidth="1"/>
    <col min="19" max="19" width="11.5703125" customWidth="1"/>
    <col min="20" max="20" width="17.5703125" bestFit="1" customWidth="1"/>
    <col min="21" max="21" width="12.5703125" bestFit="1" customWidth="1"/>
  </cols>
  <sheetData>
    <row r="1" spans="1:21" x14ac:dyDescent="0.25">
      <c r="A1" s="67" t="s">
        <v>71</v>
      </c>
      <c r="B1" s="68"/>
      <c r="C1" s="68"/>
      <c r="D1" s="68"/>
      <c r="E1" t="s">
        <v>72</v>
      </c>
    </row>
    <row r="2" spans="1:21" x14ac:dyDescent="0.25">
      <c r="A2" s="68"/>
      <c r="B2" s="68"/>
      <c r="C2" s="68"/>
      <c r="D2" s="68"/>
    </row>
    <row r="3" spans="1:21" ht="21.75" customHeight="1" x14ac:dyDescent="0.25">
      <c r="A3" s="68"/>
      <c r="B3" s="68"/>
      <c r="C3" s="68"/>
      <c r="D3" s="68"/>
    </row>
    <row r="6" spans="1:21" x14ac:dyDescent="0.25">
      <c r="A6" s="66" t="s">
        <v>59</v>
      </c>
      <c r="B6" s="66"/>
      <c r="C6" s="66"/>
      <c r="M6" s="66" t="s">
        <v>59</v>
      </c>
      <c r="N6" s="66"/>
      <c r="O6" s="66"/>
    </row>
    <row r="7" spans="1:21" x14ac:dyDescent="0.25">
      <c r="A7" s="70" t="s">
        <v>60</v>
      </c>
      <c r="B7" s="70"/>
      <c r="C7" s="36"/>
      <c r="M7" s="65" t="s">
        <v>67</v>
      </c>
      <c r="N7" s="65"/>
    </row>
    <row r="8" spans="1:21" x14ac:dyDescent="0.25">
      <c r="A8" s="40" t="s">
        <v>55</v>
      </c>
      <c r="B8" s="40"/>
      <c r="C8" s="40"/>
      <c r="D8" s="40"/>
      <c r="M8" s="40" t="s">
        <v>56</v>
      </c>
      <c r="N8" s="40"/>
      <c r="O8" s="40"/>
      <c r="P8" s="40"/>
    </row>
    <row r="9" spans="1:21" ht="30" x14ac:dyDescent="0.25">
      <c r="A9" s="38" t="s">
        <v>49</v>
      </c>
      <c r="B9" s="38" t="s">
        <v>54</v>
      </c>
      <c r="C9" s="38" t="s">
        <v>52</v>
      </c>
      <c r="D9" s="38" t="s">
        <v>50</v>
      </c>
      <c r="E9" s="38" t="s">
        <v>51</v>
      </c>
      <c r="F9" s="41"/>
      <c r="G9" s="41"/>
      <c r="I9" s="41"/>
      <c r="J9" s="1"/>
      <c r="M9" s="38" t="s">
        <v>49</v>
      </c>
      <c r="N9" s="38" t="s">
        <v>54</v>
      </c>
      <c r="O9" s="38" t="s">
        <v>52</v>
      </c>
      <c r="P9" s="38" t="s">
        <v>50</v>
      </c>
      <c r="Q9" s="38" t="s">
        <v>51</v>
      </c>
    </row>
    <row r="10" spans="1:21" ht="15" customHeight="1" x14ac:dyDescent="0.25">
      <c r="A10" s="37">
        <v>1</v>
      </c>
      <c r="B10" s="5">
        <v>7109.04</v>
      </c>
      <c r="C10" s="5">
        <v>5804.04</v>
      </c>
      <c r="D10" s="45">
        <v>11787.12</v>
      </c>
      <c r="E10" s="5">
        <v>6798.96</v>
      </c>
      <c r="F10" s="39"/>
      <c r="G10" s="69" t="s">
        <v>50</v>
      </c>
      <c r="H10" s="47" t="s">
        <v>63</v>
      </c>
      <c r="I10" s="48">
        <v>32516.95</v>
      </c>
      <c r="M10" s="37">
        <v>1</v>
      </c>
      <c r="N10" s="5">
        <v>11922</v>
      </c>
      <c r="O10" s="5">
        <f>811.13*12</f>
        <v>9733.56</v>
      </c>
      <c r="P10" s="5">
        <v>19767.240000000002</v>
      </c>
      <c r="Q10" s="5">
        <f>950.16*12</f>
        <v>11401.92</v>
      </c>
      <c r="S10" s="69" t="s">
        <v>50</v>
      </c>
      <c r="T10" s="47" t="s">
        <v>63</v>
      </c>
      <c r="U10" s="48">
        <v>54531.41</v>
      </c>
    </row>
    <row r="11" spans="1:21" x14ac:dyDescent="0.25">
      <c r="A11" s="37">
        <v>2</v>
      </c>
      <c r="B11" s="5">
        <v>7109.04</v>
      </c>
      <c r="C11" s="5">
        <v>5804.04</v>
      </c>
      <c r="D11" s="45">
        <v>11787.12</v>
      </c>
      <c r="E11" s="5">
        <v>6798.96</v>
      </c>
      <c r="F11" s="39"/>
      <c r="G11" s="69"/>
      <c r="H11" s="35" t="s">
        <v>62</v>
      </c>
      <c r="I11" s="49">
        <v>117871.35</v>
      </c>
      <c r="M11" s="37">
        <v>2</v>
      </c>
      <c r="N11" s="5">
        <v>11922</v>
      </c>
      <c r="O11" s="5">
        <f>811.13*12</f>
        <v>9733.56</v>
      </c>
      <c r="P11" s="5">
        <v>19767.240000000002</v>
      </c>
      <c r="Q11" s="5">
        <f>950.16*12</f>
        <v>11401.92</v>
      </c>
      <c r="S11" s="69"/>
      <c r="T11" s="35" t="s">
        <v>62</v>
      </c>
      <c r="U11" s="49">
        <v>197672.01</v>
      </c>
    </row>
    <row r="12" spans="1:21" x14ac:dyDescent="0.25">
      <c r="A12" s="37">
        <v>3</v>
      </c>
      <c r="B12" s="5">
        <v>7109.04</v>
      </c>
      <c r="C12" s="5">
        <v>6081.12</v>
      </c>
      <c r="D12" s="45">
        <v>11787.12</v>
      </c>
      <c r="E12" s="5">
        <v>8948.0400000000009</v>
      </c>
      <c r="F12" s="39"/>
      <c r="G12" s="69"/>
      <c r="H12" t="s">
        <v>61</v>
      </c>
      <c r="I12" s="50">
        <f>SUM(I11,I10)</f>
        <v>150388.30000000002</v>
      </c>
      <c r="M12" s="37">
        <v>3</v>
      </c>
      <c r="N12" s="5">
        <v>11922</v>
      </c>
      <c r="O12" s="54">
        <f>849.85*12</f>
        <v>10198.200000000001</v>
      </c>
      <c r="P12" s="5">
        <v>19767.240000000002</v>
      </c>
      <c r="Q12" s="5">
        <f>1250.49*12</f>
        <v>15005.880000000001</v>
      </c>
      <c r="S12" s="69"/>
      <c r="T12" t="s">
        <v>61</v>
      </c>
      <c r="U12" s="50">
        <f>SUM(U11,U10)</f>
        <v>252203.42</v>
      </c>
    </row>
    <row r="13" spans="1:21" x14ac:dyDescent="0.25">
      <c r="A13" s="37">
        <v>4</v>
      </c>
      <c r="B13" s="5">
        <v>7109.04</v>
      </c>
      <c r="C13" s="5">
        <v>6081.12</v>
      </c>
      <c r="D13" s="45">
        <v>11787.12</v>
      </c>
      <c r="E13" s="5">
        <v>8948.0400000000009</v>
      </c>
      <c r="F13" s="39"/>
      <c r="G13" s="39"/>
      <c r="I13" s="39"/>
      <c r="M13" s="37">
        <v>4</v>
      </c>
      <c r="N13" s="5">
        <v>11922</v>
      </c>
      <c r="O13" s="54">
        <f>849.85*12</f>
        <v>10198.200000000001</v>
      </c>
      <c r="P13" s="5">
        <v>19767.240000000002</v>
      </c>
      <c r="Q13" s="5">
        <f>1250.49*12</f>
        <v>15005.880000000001</v>
      </c>
      <c r="S13" s="39"/>
      <c r="U13" s="39"/>
    </row>
    <row r="14" spans="1:21" x14ac:dyDescent="0.25">
      <c r="A14" s="37">
        <v>5</v>
      </c>
      <c r="B14" s="5">
        <v>7109.04</v>
      </c>
      <c r="C14" s="5">
        <v>6371.4</v>
      </c>
      <c r="D14" s="45">
        <v>11787.12</v>
      </c>
      <c r="E14" s="5">
        <v>11776.32</v>
      </c>
      <c r="F14" s="39"/>
      <c r="M14" s="37">
        <v>5</v>
      </c>
      <c r="N14" s="5">
        <v>11922</v>
      </c>
      <c r="O14" s="5">
        <f>890.41*12</f>
        <v>10684.92</v>
      </c>
      <c r="P14" s="5">
        <v>19767.240000000002</v>
      </c>
      <c r="Q14" s="5">
        <f>1645.74*12</f>
        <v>19748.88</v>
      </c>
    </row>
    <row r="15" spans="1:21" x14ac:dyDescent="0.25">
      <c r="A15" s="37">
        <v>6</v>
      </c>
      <c r="B15" s="5">
        <v>7109.04</v>
      </c>
      <c r="C15" s="5">
        <v>6371.4</v>
      </c>
      <c r="D15" s="45">
        <v>11787.12</v>
      </c>
      <c r="E15" s="5">
        <v>11776.32</v>
      </c>
      <c r="F15" s="39"/>
      <c r="M15" s="37">
        <v>6</v>
      </c>
      <c r="N15" s="5">
        <v>11922</v>
      </c>
      <c r="O15" s="5">
        <f>890.41*12</f>
        <v>10684.92</v>
      </c>
      <c r="P15" s="5">
        <v>19767.240000000002</v>
      </c>
      <c r="Q15" s="5">
        <f>1645.74*12</f>
        <v>19748.88</v>
      </c>
    </row>
    <row r="16" spans="1:21" ht="15" customHeight="1" x14ac:dyDescent="0.25">
      <c r="A16" s="37">
        <v>7</v>
      </c>
      <c r="B16" s="5">
        <v>7109.04</v>
      </c>
      <c r="C16" s="5">
        <v>6675.48</v>
      </c>
      <c r="D16" s="45">
        <v>11787.12</v>
      </c>
      <c r="E16" s="5">
        <v>15498.6</v>
      </c>
      <c r="F16" s="39"/>
      <c r="G16" s="69" t="s">
        <v>54</v>
      </c>
      <c r="H16" s="47" t="s">
        <v>63</v>
      </c>
      <c r="I16" s="48">
        <v>92371.92</v>
      </c>
      <c r="J16" s="47"/>
      <c r="M16" s="37">
        <v>7</v>
      </c>
      <c r="N16" s="5">
        <v>11922</v>
      </c>
      <c r="O16" s="5">
        <f>932.91*12</f>
        <v>11194.92</v>
      </c>
      <c r="P16" s="5">
        <v>19767.240000000002</v>
      </c>
      <c r="Q16" s="5">
        <f>2165.92*12</f>
        <v>25991.040000000001</v>
      </c>
      <c r="S16" s="69" t="s">
        <v>54</v>
      </c>
      <c r="T16" s="47" t="s">
        <v>63</v>
      </c>
      <c r="U16" s="48">
        <v>154909.09</v>
      </c>
    </row>
    <row r="17" spans="1:21" x14ac:dyDescent="0.25">
      <c r="A17" s="37">
        <v>8</v>
      </c>
      <c r="B17" s="5">
        <v>7109.04</v>
      </c>
      <c r="C17" s="5">
        <v>6675.48</v>
      </c>
      <c r="D17" s="45">
        <v>11787.12</v>
      </c>
      <c r="E17" s="5">
        <v>15498.6</v>
      </c>
      <c r="F17" s="39"/>
      <c r="G17" s="69"/>
      <c r="H17" s="35" t="s">
        <v>62</v>
      </c>
      <c r="I17" s="49">
        <v>177726.32</v>
      </c>
      <c r="M17" s="37">
        <v>8</v>
      </c>
      <c r="N17" s="5">
        <v>11922</v>
      </c>
      <c r="O17" s="5">
        <f>932.91*12</f>
        <v>11194.92</v>
      </c>
      <c r="P17" s="5">
        <v>19767.240000000002</v>
      </c>
      <c r="Q17" s="5">
        <f>2165.92*12</f>
        <v>25991.040000000001</v>
      </c>
      <c r="S17" s="69"/>
      <c r="T17" s="35" t="s">
        <v>62</v>
      </c>
      <c r="U17" s="49">
        <v>298049.69</v>
      </c>
    </row>
    <row r="18" spans="1:21" x14ac:dyDescent="0.25">
      <c r="A18" s="37">
        <v>9</v>
      </c>
      <c r="B18" s="5">
        <v>7109.04</v>
      </c>
      <c r="C18" s="5">
        <v>6994.08</v>
      </c>
      <c r="D18" s="45">
        <v>11787.12</v>
      </c>
      <c r="E18" s="5">
        <v>20396.88</v>
      </c>
      <c r="F18" s="39"/>
      <c r="G18" s="69"/>
      <c r="H18" t="s">
        <v>66</v>
      </c>
      <c r="I18" s="51">
        <f>SUM(I16:I17)</f>
        <v>270098.24</v>
      </c>
      <c r="M18" s="37">
        <v>9</v>
      </c>
      <c r="N18" s="5">
        <v>11922</v>
      </c>
      <c r="O18" s="5">
        <f>977.44*12</f>
        <v>11729.28</v>
      </c>
      <c r="P18" s="5">
        <v>19767.240000000002</v>
      </c>
      <c r="Q18" s="5">
        <f>2850.48*12</f>
        <v>34205.760000000002</v>
      </c>
      <c r="S18" s="69"/>
      <c r="T18" t="s">
        <v>66</v>
      </c>
      <c r="U18" s="51">
        <f>SUM(U16:U17)</f>
        <v>452958.78</v>
      </c>
    </row>
    <row r="19" spans="1:21" x14ac:dyDescent="0.25">
      <c r="A19" s="37">
        <v>10</v>
      </c>
      <c r="B19" s="5">
        <v>7109.04</v>
      </c>
      <c r="C19" s="5">
        <v>6994.08</v>
      </c>
      <c r="D19" s="45">
        <v>11787.12</v>
      </c>
      <c r="E19" s="5">
        <v>20396.88</v>
      </c>
      <c r="F19" s="39"/>
      <c r="M19" s="37">
        <v>10</v>
      </c>
      <c r="N19" s="5">
        <v>11922</v>
      </c>
      <c r="O19" s="5">
        <f>977.44*12</f>
        <v>11729.28</v>
      </c>
      <c r="P19" s="5">
        <v>19767.240000000002</v>
      </c>
      <c r="Q19" s="5">
        <f>2850.48*12</f>
        <v>34205.760000000002</v>
      </c>
    </row>
    <row r="20" spans="1:21" x14ac:dyDescent="0.25">
      <c r="A20" s="37">
        <v>11</v>
      </c>
      <c r="B20" s="5">
        <v>7109.04</v>
      </c>
      <c r="C20" s="46">
        <v>7327.92</v>
      </c>
      <c r="D20" s="44"/>
      <c r="E20" s="43"/>
      <c r="F20" s="39"/>
      <c r="G20" s="39"/>
      <c r="H20" s="39"/>
      <c r="I20" s="39"/>
      <c r="M20" s="37">
        <v>11</v>
      </c>
      <c r="N20" s="5">
        <v>11922</v>
      </c>
      <c r="O20" s="46">
        <f>1024.09*12</f>
        <v>12289.079999999998</v>
      </c>
      <c r="P20" s="44"/>
      <c r="Q20" s="43"/>
      <c r="S20" s="39"/>
      <c r="T20" s="39"/>
      <c r="U20" s="39"/>
    </row>
    <row r="21" spans="1:21" x14ac:dyDescent="0.25">
      <c r="A21" s="37">
        <v>12</v>
      </c>
      <c r="B21" s="5">
        <v>7109.04</v>
      </c>
      <c r="C21" s="46">
        <v>7327.92</v>
      </c>
      <c r="D21" s="42"/>
      <c r="E21" s="39"/>
      <c r="F21" s="39"/>
      <c r="G21" s="39"/>
      <c r="H21" s="39"/>
      <c r="I21" s="39"/>
      <c r="M21" s="37">
        <v>12</v>
      </c>
      <c r="N21" s="5">
        <v>11922</v>
      </c>
      <c r="O21" s="46">
        <f>1024.09*12</f>
        <v>12289.079999999998</v>
      </c>
      <c r="P21" s="42"/>
      <c r="Q21" s="39"/>
      <c r="S21" s="39"/>
      <c r="T21" s="39"/>
      <c r="U21" s="39"/>
    </row>
    <row r="22" spans="1:21" ht="15" customHeight="1" x14ac:dyDescent="0.25">
      <c r="A22" s="37">
        <v>13</v>
      </c>
      <c r="B22" s="5">
        <v>7109.04</v>
      </c>
      <c r="C22" s="46">
        <v>7677.72</v>
      </c>
      <c r="D22" s="42"/>
      <c r="E22" s="39"/>
      <c r="F22" s="39"/>
      <c r="G22" s="69" t="s">
        <v>51</v>
      </c>
      <c r="H22" s="47" t="s">
        <v>63</v>
      </c>
      <c r="I22" s="48">
        <v>41481.760000000002</v>
      </c>
      <c r="J22" s="47"/>
      <c r="M22" s="37">
        <v>13</v>
      </c>
      <c r="N22" s="5">
        <v>11922</v>
      </c>
      <c r="O22" s="46">
        <f>1072.97*12</f>
        <v>12875.64</v>
      </c>
      <c r="P22" s="42"/>
      <c r="Q22" s="39"/>
      <c r="S22" s="69" t="s">
        <v>51</v>
      </c>
      <c r="T22" s="47" t="s">
        <v>63</v>
      </c>
      <c r="U22" s="48">
        <v>69565.98</v>
      </c>
    </row>
    <row r="23" spans="1:21" x14ac:dyDescent="0.25">
      <c r="A23" s="37">
        <v>14</v>
      </c>
      <c r="B23" s="5">
        <v>7109.04</v>
      </c>
      <c r="C23" s="46">
        <v>7677.72</v>
      </c>
      <c r="D23" s="42"/>
      <c r="E23" s="39"/>
      <c r="F23" s="39"/>
      <c r="G23" s="69"/>
      <c r="H23" s="35" t="s">
        <v>64</v>
      </c>
      <c r="I23" s="49">
        <v>126836.16</v>
      </c>
      <c r="M23" s="37">
        <v>14</v>
      </c>
      <c r="N23" s="5">
        <v>11922</v>
      </c>
      <c r="O23" s="46">
        <f>1072.97*12</f>
        <v>12875.64</v>
      </c>
      <c r="P23" s="42"/>
      <c r="Q23" s="39"/>
      <c r="S23" s="69"/>
      <c r="T23" s="35" t="s">
        <v>64</v>
      </c>
      <c r="U23" s="49">
        <v>212706.58</v>
      </c>
    </row>
    <row r="24" spans="1:21" x14ac:dyDescent="0.25">
      <c r="A24" s="37">
        <v>15</v>
      </c>
      <c r="B24" s="5">
        <v>7109.04</v>
      </c>
      <c r="C24" s="46">
        <v>8044.2</v>
      </c>
      <c r="D24" s="42"/>
      <c r="E24" s="39"/>
      <c r="F24" s="39"/>
      <c r="G24" s="69"/>
      <c r="H24" t="s">
        <v>66</v>
      </c>
      <c r="I24" s="51">
        <f>SUM(I22:I23)</f>
        <v>168317.92</v>
      </c>
      <c r="M24" s="37">
        <v>15</v>
      </c>
      <c r="N24" s="5">
        <v>11922</v>
      </c>
      <c r="O24" s="46">
        <f>1124.18*12</f>
        <v>13490.16</v>
      </c>
      <c r="P24" s="42"/>
      <c r="Q24" s="39"/>
      <c r="S24" s="69"/>
      <c r="T24" t="s">
        <v>66</v>
      </c>
      <c r="U24" s="51">
        <f>SUM(U22:U23)</f>
        <v>282272.56</v>
      </c>
    </row>
    <row r="25" spans="1:21" x14ac:dyDescent="0.25">
      <c r="A25" s="37">
        <v>16</v>
      </c>
      <c r="B25" s="5">
        <v>7109.04</v>
      </c>
      <c r="C25" s="46">
        <v>8044.2</v>
      </c>
      <c r="D25" s="42"/>
      <c r="E25" s="39"/>
      <c r="F25" s="39"/>
      <c r="M25" s="37">
        <v>16</v>
      </c>
      <c r="N25" s="5">
        <v>11922</v>
      </c>
      <c r="O25" s="46">
        <f>1124.18*12</f>
        <v>13490.16</v>
      </c>
      <c r="P25" s="42"/>
      <c r="Q25" s="39"/>
    </row>
    <row r="26" spans="1:21" x14ac:dyDescent="0.25">
      <c r="A26" s="37">
        <v>17</v>
      </c>
      <c r="B26" s="5">
        <v>7109.04</v>
      </c>
      <c r="C26" s="46">
        <v>8428.2000000000007</v>
      </c>
      <c r="D26" s="42"/>
      <c r="E26" s="39"/>
      <c r="F26" s="39"/>
      <c r="G26" s="39"/>
      <c r="H26" s="39"/>
      <c r="I26" s="39"/>
      <c r="M26" s="37">
        <v>17</v>
      </c>
      <c r="N26" s="5">
        <v>11922</v>
      </c>
      <c r="O26" s="46">
        <f>1177.84*12</f>
        <v>14134.079999999998</v>
      </c>
      <c r="P26" s="42"/>
      <c r="Q26" s="39"/>
      <c r="S26" s="39"/>
      <c r="T26" s="39"/>
      <c r="U26" s="39"/>
    </row>
    <row r="27" spans="1:21" x14ac:dyDescent="0.25">
      <c r="A27" s="37">
        <v>18</v>
      </c>
      <c r="B27" s="5">
        <v>7109.04</v>
      </c>
      <c r="C27" s="46">
        <v>8428.2000000000007</v>
      </c>
      <c r="D27" s="42"/>
      <c r="E27" s="39"/>
      <c r="F27" s="39"/>
      <c r="G27" s="39"/>
      <c r="H27" s="39"/>
      <c r="I27" s="39"/>
      <c r="M27" s="37">
        <v>18</v>
      </c>
      <c r="N27" s="5">
        <v>11922</v>
      </c>
      <c r="O27" s="46">
        <f>1177.84*12</f>
        <v>14134.079999999998</v>
      </c>
      <c r="P27" s="42"/>
      <c r="Q27" s="39"/>
      <c r="S27" s="39"/>
      <c r="T27" s="39"/>
      <c r="U27" s="39"/>
    </row>
    <row r="28" spans="1:21" ht="15" customHeight="1" x14ac:dyDescent="0.25">
      <c r="A28" s="37">
        <v>19</v>
      </c>
      <c r="B28" s="5">
        <v>7109.04</v>
      </c>
      <c r="C28" s="46">
        <v>8830.44</v>
      </c>
      <c r="D28" s="42"/>
      <c r="E28" s="39"/>
      <c r="F28" s="39"/>
      <c r="G28" s="69" t="s">
        <v>52</v>
      </c>
      <c r="H28" s="47" t="s">
        <v>65</v>
      </c>
      <c r="I28" s="52">
        <v>107148.83</v>
      </c>
      <c r="J28" s="47"/>
      <c r="M28" s="37">
        <v>19</v>
      </c>
      <c r="N28" s="5">
        <v>11922</v>
      </c>
      <c r="O28" s="46">
        <f>1234.06*12</f>
        <v>14808.72</v>
      </c>
      <c r="P28" s="42"/>
      <c r="Q28" s="39"/>
      <c r="S28" s="69" t="s">
        <v>52</v>
      </c>
      <c r="T28" s="47" t="s">
        <v>65</v>
      </c>
      <c r="U28" s="52">
        <v>179689.54</v>
      </c>
    </row>
    <row r="29" spans="1:21" x14ac:dyDescent="0.25">
      <c r="A29" s="37">
        <v>20</v>
      </c>
      <c r="B29" s="5">
        <v>7109.04</v>
      </c>
      <c r="C29" s="46">
        <v>8830.44</v>
      </c>
      <c r="D29" s="42"/>
      <c r="E29" s="39"/>
      <c r="F29" s="39"/>
      <c r="G29" s="69"/>
      <c r="H29" s="35" t="s">
        <v>62</v>
      </c>
      <c r="I29" s="53">
        <v>192503.23</v>
      </c>
      <c r="M29" s="37">
        <v>20</v>
      </c>
      <c r="N29" s="5">
        <v>11922</v>
      </c>
      <c r="O29" s="46">
        <f>1234.06*12</f>
        <v>14808.72</v>
      </c>
      <c r="P29" s="42"/>
      <c r="Q29" s="39"/>
      <c r="S29" s="69"/>
      <c r="T29" s="35" t="s">
        <v>62</v>
      </c>
      <c r="U29" s="53">
        <v>322830.14</v>
      </c>
    </row>
    <row r="30" spans="1:21" x14ac:dyDescent="0.25">
      <c r="A30" s="37">
        <v>21</v>
      </c>
      <c r="B30" s="5">
        <v>7109.04</v>
      </c>
      <c r="C30" s="46">
        <v>9251.8799999999992</v>
      </c>
      <c r="D30" s="42"/>
      <c r="E30" s="39"/>
      <c r="F30" s="39"/>
      <c r="G30" s="69"/>
      <c r="H30" s="39" t="s">
        <v>66</v>
      </c>
      <c r="I30" s="16">
        <f>SUM(I28:I29)</f>
        <v>299652.06</v>
      </c>
      <c r="M30" s="37">
        <v>21</v>
      </c>
      <c r="N30" s="5">
        <v>11922</v>
      </c>
      <c r="O30" s="46">
        <f>1292.96*12</f>
        <v>15515.52</v>
      </c>
      <c r="P30" s="42"/>
      <c r="Q30" s="39"/>
      <c r="S30" s="69"/>
      <c r="T30" s="39" t="s">
        <v>66</v>
      </c>
      <c r="U30" s="16">
        <f>SUM(U28:U29)</f>
        <v>502519.68000000005</v>
      </c>
    </row>
    <row r="31" spans="1:21" x14ac:dyDescent="0.25">
      <c r="A31" s="37">
        <v>22</v>
      </c>
      <c r="B31" s="5">
        <v>7109.04</v>
      </c>
      <c r="C31" s="46">
        <v>9251.8799999999992</v>
      </c>
      <c r="D31" s="42"/>
      <c r="E31" s="39"/>
      <c r="F31" s="39"/>
      <c r="G31" s="39"/>
      <c r="H31" s="39"/>
      <c r="I31" s="39"/>
      <c r="M31" s="37">
        <v>22</v>
      </c>
      <c r="N31" s="5">
        <v>11922</v>
      </c>
      <c r="O31" s="46">
        <f>1292.96*12</f>
        <v>15515.52</v>
      </c>
      <c r="P31" s="42"/>
      <c r="Q31" s="39"/>
    </row>
    <row r="32" spans="1:21" x14ac:dyDescent="0.25">
      <c r="A32" s="37">
        <v>23</v>
      </c>
      <c r="B32" s="5">
        <v>7109.04</v>
      </c>
      <c r="C32" s="46">
        <v>9693.48</v>
      </c>
      <c r="D32" s="42"/>
      <c r="E32" s="39"/>
      <c r="F32" s="39"/>
      <c r="G32" s="39"/>
      <c r="H32" s="39"/>
      <c r="I32" s="39"/>
      <c r="M32" s="37">
        <v>23</v>
      </c>
      <c r="N32" s="5">
        <v>11922</v>
      </c>
      <c r="O32" s="46">
        <f>1354.67*12</f>
        <v>16256.04</v>
      </c>
      <c r="P32" s="42"/>
      <c r="Q32" s="39"/>
    </row>
    <row r="33" spans="1:21" x14ac:dyDescent="0.25">
      <c r="A33" s="37">
        <v>24</v>
      </c>
      <c r="B33" s="5">
        <v>7109.04</v>
      </c>
      <c r="C33" s="46">
        <v>9693.48</v>
      </c>
      <c r="D33" s="42"/>
      <c r="E33" s="39"/>
      <c r="F33" s="39"/>
      <c r="G33" s="39"/>
      <c r="H33" s="39"/>
      <c r="I33" s="39"/>
      <c r="M33" s="37">
        <v>24</v>
      </c>
      <c r="N33" s="5">
        <v>11922</v>
      </c>
      <c r="O33" s="46">
        <f>1354.67*12</f>
        <v>16256.04</v>
      </c>
      <c r="P33" s="42"/>
      <c r="Q33" s="39"/>
    </row>
    <row r="34" spans="1:21" x14ac:dyDescent="0.25">
      <c r="A34" s="37">
        <v>25</v>
      </c>
      <c r="B34" s="5">
        <v>7109.04</v>
      </c>
      <c r="C34" s="46">
        <v>10156.200000000001</v>
      </c>
      <c r="D34" s="42"/>
      <c r="E34" s="39"/>
      <c r="F34" s="39"/>
      <c r="G34" s="39"/>
      <c r="H34" s="39"/>
      <c r="I34" s="39"/>
      <c r="M34" s="37">
        <v>25</v>
      </c>
      <c r="N34" s="5">
        <v>11922</v>
      </c>
      <c r="O34" s="46">
        <f>1419.33*12</f>
        <v>17031.96</v>
      </c>
      <c r="P34" s="42"/>
      <c r="Q34" s="39"/>
    </row>
    <row r="38" spans="1:21" x14ac:dyDescent="0.25">
      <c r="A38" s="66" t="s">
        <v>59</v>
      </c>
      <c r="B38" s="66"/>
      <c r="C38" s="66"/>
      <c r="M38" s="66" t="s">
        <v>59</v>
      </c>
      <c r="N38" s="66"/>
      <c r="O38" s="66"/>
    </row>
    <row r="39" spans="1:21" x14ac:dyDescent="0.25">
      <c r="A39" t="s">
        <v>68</v>
      </c>
      <c r="M39" t="s">
        <v>69</v>
      </c>
    </row>
    <row r="40" spans="1:21" x14ac:dyDescent="0.25">
      <c r="A40" s="40" t="s">
        <v>58</v>
      </c>
      <c r="B40" s="40"/>
      <c r="C40" s="40"/>
      <c r="M40" s="71" t="s">
        <v>57</v>
      </c>
      <c r="N40" s="71"/>
      <c r="O40" s="71"/>
      <c r="P40" s="71"/>
    </row>
    <row r="41" spans="1:21" ht="30" x14ac:dyDescent="0.25">
      <c r="A41" s="38" t="s">
        <v>49</v>
      </c>
      <c r="B41" s="38" t="s">
        <v>54</v>
      </c>
      <c r="C41" s="38" t="s">
        <v>52</v>
      </c>
      <c r="D41" s="38" t="s">
        <v>50</v>
      </c>
      <c r="E41" s="38" t="s">
        <v>51</v>
      </c>
      <c r="F41" s="41"/>
      <c r="G41" s="41"/>
      <c r="H41" s="41"/>
      <c r="I41" s="41"/>
      <c r="M41" s="38" t="s">
        <v>49</v>
      </c>
      <c r="N41" s="38" t="s">
        <v>54</v>
      </c>
      <c r="O41" s="38" t="s">
        <v>52</v>
      </c>
      <c r="P41" s="38" t="s">
        <v>50</v>
      </c>
      <c r="Q41" s="38" t="s">
        <v>51</v>
      </c>
    </row>
    <row r="42" spans="1:21" ht="15" customHeight="1" x14ac:dyDescent="0.25">
      <c r="A42" s="37">
        <v>1</v>
      </c>
      <c r="B42" s="5">
        <f>368.56*12</f>
        <v>4422.72</v>
      </c>
      <c r="C42" s="5">
        <f>300.91*12</f>
        <v>3610.92</v>
      </c>
      <c r="D42" s="5">
        <f>611.09*12</f>
        <v>7333.08</v>
      </c>
      <c r="E42" s="5">
        <f>352.49*12</f>
        <v>4229.88</v>
      </c>
      <c r="F42" s="39"/>
      <c r="G42" s="69" t="s">
        <v>50</v>
      </c>
      <c r="H42" s="47" t="s">
        <v>63</v>
      </c>
      <c r="I42" s="48">
        <v>20229.77</v>
      </c>
      <c r="M42" s="37">
        <v>1</v>
      </c>
      <c r="N42" s="5">
        <f>937.11*12</f>
        <v>11245.32</v>
      </c>
      <c r="O42" s="5">
        <f>765.09*12</f>
        <v>9181.08</v>
      </c>
      <c r="P42" s="5">
        <f>1553.77*12</f>
        <v>18645.239999999998</v>
      </c>
      <c r="Q42" s="5">
        <f>896.24*12</f>
        <v>10754.880000000001</v>
      </c>
      <c r="S42" s="69" t="s">
        <v>50</v>
      </c>
      <c r="T42" s="47" t="s">
        <v>63</v>
      </c>
      <c r="U42" s="48">
        <v>51436.38</v>
      </c>
    </row>
    <row r="43" spans="1:21" x14ac:dyDescent="0.25">
      <c r="A43" s="37">
        <v>2</v>
      </c>
      <c r="B43" s="5">
        <f t="shared" ref="B43:B66" si="0">368.56*12</f>
        <v>4422.72</v>
      </c>
      <c r="C43" s="5">
        <f>300.91*12</f>
        <v>3610.92</v>
      </c>
      <c r="D43" s="5">
        <f t="shared" ref="D43:D51" si="1">611.09*12</f>
        <v>7333.08</v>
      </c>
      <c r="E43" s="5">
        <f>352.49*12</f>
        <v>4229.88</v>
      </c>
      <c r="F43" s="39"/>
      <c r="G43" s="69"/>
      <c r="H43" s="35" t="s">
        <v>62</v>
      </c>
      <c r="I43" s="49">
        <v>73331.289999999994</v>
      </c>
      <c r="M43" s="37">
        <v>2</v>
      </c>
      <c r="N43" s="5">
        <f t="shared" ref="N43:N66" si="2">937.11*12</f>
        <v>11245.32</v>
      </c>
      <c r="O43" s="5">
        <f>765.09*12</f>
        <v>9181.08</v>
      </c>
      <c r="P43" s="5">
        <f t="shared" ref="P43:P51" si="3">1553.77*12</f>
        <v>18645.239999999998</v>
      </c>
      <c r="Q43" s="5">
        <f>896.24*12</f>
        <v>10754.880000000001</v>
      </c>
      <c r="S43" s="69"/>
      <c r="T43" s="35" t="s">
        <v>62</v>
      </c>
      <c r="U43" s="49">
        <v>186452.78</v>
      </c>
    </row>
    <row r="44" spans="1:21" x14ac:dyDescent="0.25">
      <c r="A44" s="37">
        <v>3</v>
      </c>
      <c r="B44" s="5">
        <f t="shared" si="0"/>
        <v>4422.72</v>
      </c>
      <c r="C44" s="5">
        <f>315.28*12</f>
        <v>3783.3599999999997</v>
      </c>
      <c r="D44" s="5">
        <f t="shared" si="1"/>
        <v>7333.08</v>
      </c>
      <c r="E44" s="5">
        <f>463.91*12</f>
        <v>5566.92</v>
      </c>
      <c r="F44" s="39"/>
      <c r="G44" s="69"/>
      <c r="H44" t="s">
        <v>61</v>
      </c>
      <c r="I44" s="50">
        <f>SUM(I43,I42)</f>
        <v>93561.06</v>
      </c>
      <c r="M44" s="37">
        <v>3</v>
      </c>
      <c r="N44" s="5">
        <f t="shared" si="2"/>
        <v>11245.32</v>
      </c>
      <c r="O44" s="5">
        <f>801.6*12</f>
        <v>9619.2000000000007</v>
      </c>
      <c r="P44" s="5">
        <f t="shared" si="3"/>
        <v>18645.239999999998</v>
      </c>
      <c r="Q44" s="5">
        <f>1179.52*12</f>
        <v>14154.24</v>
      </c>
      <c r="S44" s="69"/>
      <c r="T44" t="s">
        <v>61</v>
      </c>
      <c r="U44" s="50">
        <f>SUM(U43,U42)</f>
        <v>237889.16</v>
      </c>
    </row>
    <row r="45" spans="1:21" x14ac:dyDescent="0.25">
      <c r="A45" s="37">
        <v>4</v>
      </c>
      <c r="B45" s="5">
        <f t="shared" si="0"/>
        <v>4422.72</v>
      </c>
      <c r="C45" s="5">
        <f>315.28*12</f>
        <v>3783.3599999999997</v>
      </c>
      <c r="D45" s="5">
        <f t="shared" si="1"/>
        <v>7333.08</v>
      </c>
      <c r="E45" s="5">
        <f>463.91*12</f>
        <v>5566.92</v>
      </c>
      <c r="F45" s="39"/>
      <c r="G45" s="39"/>
      <c r="I45" s="39"/>
      <c r="M45" s="37">
        <v>4</v>
      </c>
      <c r="N45" s="5">
        <f t="shared" si="2"/>
        <v>11245.32</v>
      </c>
      <c r="O45" s="5">
        <f>801.6*12</f>
        <v>9619.2000000000007</v>
      </c>
      <c r="P45" s="5">
        <f t="shared" si="3"/>
        <v>18645.239999999998</v>
      </c>
      <c r="Q45" s="5">
        <f>1179.52*12</f>
        <v>14154.24</v>
      </c>
      <c r="S45" s="39"/>
      <c r="U45" s="39"/>
    </row>
    <row r="46" spans="1:21" x14ac:dyDescent="0.25">
      <c r="A46" s="37">
        <v>5</v>
      </c>
      <c r="B46" s="5">
        <f t="shared" si="0"/>
        <v>4422.72</v>
      </c>
      <c r="C46" s="5">
        <f>330.33*12</f>
        <v>3963.96</v>
      </c>
      <c r="D46" s="5">
        <f t="shared" si="1"/>
        <v>7333.08</v>
      </c>
      <c r="E46" s="5">
        <f>610.54*12</f>
        <v>7326.48</v>
      </c>
      <c r="F46" s="39"/>
      <c r="M46" s="37">
        <v>5</v>
      </c>
      <c r="N46" s="5">
        <f t="shared" si="2"/>
        <v>11245.32</v>
      </c>
      <c r="O46" s="5">
        <f>839.87*12</f>
        <v>10078.44</v>
      </c>
      <c r="P46" s="5">
        <f t="shared" si="3"/>
        <v>18645.239999999998</v>
      </c>
      <c r="Q46" s="5">
        <f>1552.34*12</f>
        <v>18628.079999999998</v>
      </c>
    </row>
    <row r="47" spans="1:21" x14ac:dyDescent="0.25">
      <c r="A47" s="37">
        <v>6</v>
      </c>
      <c r="B47" s="5">
        <f t="shared" si="0"/>
        <v>4422.72</v>
      </c>
      <c r="C47" s="5">
        <f>330.33*12</f>
        <v>3963.96</v>
      </c>
      <c r="D47" s="5">
        <f t="shared" si="1"/>
        <v>7333.08</v>
      </c>
      <c r="E47" s="5">
        <f>610.54*12</f>
        <v>7326.48</v>
      </c>
      <c r="F47" s="39"/>
      <c r="M47" s="37">
        <v>6</v>
      </c>
      <c r="N47" s="5">
        <f t="shared" si="2"/>
        <v>11245.32</v>
      </c>
      <c r="O47" s="5">
        <f>839.87*12</f>
        <v>10078.44</v>
      </c>
      <c r="P47" s="5">
        <f t="shared" si="3"/>
        <v>18645.239999999998</v>
      </c>
      <c r="Q47" s="5">
        <f>1552.34*12</f>
        <v>18628.079999999998</v>
      </c>
    </row>
    <row r="48" spans="1:21" ht="15" customHeight="1" x14ac:dyDescent="0.25">
      <c r="A48" s="37">
        <v>7</v>
      </c>
      <c r="B48" s="5">
        <f t="shared" si="0"/>
        <v>4422.72</v>
      </c>
      <c r="C48" s="5">
        <f>346.1*12</f>
        <v>4153.2000000000007</v>
      </c>
      <c r="D48" s="5">
        <f t="shared" si="1"/>
        <v>7333.08</v>
      </c>
      <c r="E48" s="5">
        <f>803.52*12</f>
        <v>9642.24</v>
      </c>
      <c r="F48" s="39"/>
      <c r="G48" s="69" t="s">
        <v>54</v>
      </c>
      <c r="H48" s="47" t="s">
        <v>63</v>
      </c>
      <c r="I48" s="48">
        <v>57467.33</v>
      </c>
      <c r="M48" s="37">
        <v>7</v>
      </c>
      <c r="N48" s="5">
        <f t="shared" si="2"/>
        <v>11245.32</v>
      </c>
      <c r="O48" s="5">
        <f>879.96*12</f>
        <v>10559.52</v>
      </c>
      <c r="P48" s="5">
        <f t="shared" si="3"/>
        <v>18645.239999999998</v>
      </c>
      <c r="Q48" s="5">
        <f>2043*12</f>
        <v>24516</v>
      </c>
      <c r="S48" s="69" t="s">
        <v>54</v>
      </c>
      <c r="T48" s="47" t="s">
        <v>63</v>
      </c>
      <c r="U48" s="48">
        <v>146116.95000000001</v>
      </c>
    </row>
    <row r="49" spans="1:21" x14ac:dyDescent="0.25">
      <c r="A49" s="37">
        <v>8</v>
      </c>
      <c r="B49" s="5">
        <f t="shared" si="0"/>
        <v>4422.72</v>
      </c>
      <c r="C49" s="5">
        <f>346.1*12</f>
        <v>4153.2000000000007</v>
      </c>
      <c r="D49" s="5">
        <f t="shared" si="1"/>
        <v>7333.08</v>
      </c>
      <c r="E49" s="5">
        <f>803.52*12</f>
        <v>9642.24</v>
      </c>
      <c r="F49" s="39"/>
      <c r="G49" s="69"/>
      <c r="H49" s="35" t="s">
        <v>62</v>
      </c>
      <c r="I49" s="49">
        <v>110568.85</v>
      </c>
      <c r="M49" s="37">
        <v>8</v>
      </c>
      <c r="N49" s="5">
        <f t="shared" si="2"/>
        <v>11245.32</v>
      </c>
      <c r="O49" s="5">
        <f>879.96*12</f>
        <v>10559.52</v>
      </c>
      <c r="P49" s="5">
        <f t="shared" si="3"/>
        <v>18645.239999999998</v>
      </c>
      <c r="Q49" s="5">
        <f>2043*12</f>
        <v>24516</v>
      </c>
      <c r="S49" s="69"/>
      <c r="T49" s="35" t="s">
        <v>62</v>
      </c>
      <c r="U49" s="49">
        <v>281133.34999999998</v>
      </c>
    </row>
    <row r="50" spans="1:21" x14ac:dyDescent="0.25">
      <c r="A50" s="37">
        <v>9</v>
      </c>
      <c r="B50" s="5">
        <f t="shared" si="0"/>
        <v>4422.72</v>
      </c>
      <c r="C50" s="5">
        <f>362.62*12</f>
        <v>4351.4400000000005</v>
      </c>
      <c r="D50" s="5">
        <f t="shared" si="1"/>
        <v>7333.08</v>
      </c>
      <c r="E50" s="5">
        <f>1057.47*12</f>
        <v>12689.64</v>
      </c>
      <c r="F50" s="39"/>
      <c r="G50" s="69"/>
      <c r="H50" t="s">
        <v>66</v>
      </c>
      <c r="I50" s="51">
        <f>SUM(I48:I49)</f>
        <v>168036.18</v>
      </c>
      <c r="M50" s="37">
        <v>9</v>
      </c>
      <c r="N50" s="5">
        <f t="shared" si="2"/>
        <v>11245.32</v>
      </c>
      <c r="O50" s="5">
        <f>921.96*12</f>
        <v>11063.52</v>
      </c>
      <c r="P50" s="5">
        <f t="shared" si="3"/>
        <v>18645.239999999998</v>
      </c>
      <c r="Q50" s="5">
        <f>2688.72*12</f>
        <v>32264.639999999999</v>
      </c>
      <c r="S50" s="69"/>
      <c r="T50" t="s">
        <v>66</v>
      </c>
      <c r="U50" s="51">
        <f>SUM(U48:U49)</f>
        <v>427250.3</v>
      </c>
    </row>
    <row r="51" spans="1:21" x14ac:dyDescent="0.25">
      <c r="A51" s="37">
        <v>10</v>
      </c>
      <c r="B51" s="5">
        <f t="shared" si="0"/>
        <v>4422.72</v>
      </c>
      <c r="C51" s="5">
        <f>362.62*12</f>
        <v>4351.4400000000005</v>
      </c>
      <c r="D51" s="5">
        <f t="shared" si="1"/>
        <v>7333.08</v>
      </c>
      <c r="E51" s="5">
        <f>1057.47*12</f>
        <v>12689.64</v>
      </c>
      <c r="F51" s="39"/>
      <c r="M51" s="37">
        <v>10</v>
      </c>
      <c r="N51" s="5">
        <f t="shared" si="2"/>
        <v>11245.32</v>
      </c>
      <c r="O51" s="5">
        <f>921.96*12</f>
        <v>11063.52</v>
      </c>
      <c r="P51" s="5">
        <f t="shared" si="3"/>
        <v>18645.239999999998</v>
      </c>
      <c r="Q51" s="5">
        <f>2688.72*12</f>
        <v>32264.639999999999</v>
      </c>
    </row>
    <row r="52" spans="1:21" x14ac:dyDescent="0.25">
      <c r="A52" s="37">
        <v>11</v>
      </c>
      <c r="B52" s="5">
        <f t="shared" si="0"/>
        <v>4422.72</v>
      </c>
      <c r="C52" s="46">
        <f>379.93*12</f>
        <v>4559.16</v>
      </c>
      <c r="D52" s="55"/>
      <c r="E52" s="56"/>
      <c r="F52" s="39"/>
      <c r="G52" s="39"/>
      <c r="H52" s="39"/>
      <c r="I52" s="39"/>
      <c r="M52" s="37">
        <v>11</v>
      </c>
      <c r="N52" s="5">
        <f t="shared" si="2"/>
        <v>11245.32</v>
      </c>
      <c r="O52" s="46">
        <f>965.96*12</f>
        <v>11591.52</v>
      </c>
      <c r="P52" s="55"/>
      <c r="Q52" s="56"/>
      <c r="S52" s="39"/>
      <c r="T52" s="39"/>
      <c r="U52" s="39"/>
    </row>
    <row r="53" spans="1:21" x14ac:dyDescent="0.25">
      <c r="A53" s="37">
        <v>12</v>
      </c>
      <c r="B53" s="5">
        <f t="shared" si="0"/>
        <v>4422.72</v>
      </c>
      <c r="C53" s="46">
        <f>379.93*12</f>
        <v>4559.16</v>
      </c>
      <c r="D53" s="57"/>
      <c r="E53" s="16"/>
      <c r="F53" s="39"/>
      <c r="G53" s="39"/>
      <c r="H53" s="39"/>
      <c r="I53" s="39"/>
      <c r="M53" s="37">
        <v>12</v>
      </c>
      <c r="N53" s="5">
        <f t="shared" si="2"/>
        <v>11245.32</v>
      </c>
      <c r="O53" s="46">
        <f>965.96*12</f>
        <v>11591.52</v>
      </c>
      <c r="P53" s="57"/>
      <c r="Q53" s="16"/>
      <c r="S53" s="39"/>
      <c r="T53" s="39"/>
      <c r="U53" s="39"/>
    </row>
    <row r="54" spans="1:21" ht="15" customHeight="1" x14ac:dyDescent="0.25">
      <c r="A54" s="37">
        <v>13</v>
      </c>
      <c r="B54" s="5">
        <f t="shared" si="0"/>
        <v>4422.72</v>
      </c>
      <c r="C54" s="46">
        <f>398.07*12</f>
        <v>4776.84</v>
      </c>
      <c r="D54" s="57"/>
      <c r="E54" s="16"/>
      <c r="F54" s="39"/>
      <c r="G54" s="69" t="s">
        <v>51</v>
      </c>
      <c r="H54" s="47" t="s">
        <v>63</v>
      </c>
      <c r="I54" s="48">
        <v>25806.77</v>
      </c>
      <c r="M54" s="37">
        <v>13</v>
      </c>
      <c r="N54" s="5">
        <f t="shared" si="2"/>
        <v>11245.32</v>
      </c>
      <c r="O54" s="46">
        <f>1012.06*12</f>
        <v>12144.72</v>
      </c>
      <c r="P54" s="57"/>
      <c r="Q54" s="16"/>
      <c r="S54" s="69" t="s">
        <v>51</v>
      </c>
      <c r="T54" s="47" t="s">
        <v>63</v>
      </c>
      <c r="U54" s="48">
        <v>65617.27</v>
      </c>
    </row>
    <row r="55" spans="1:21" x14ac:dyDescent="0.25">
      <c r="A55" s="37">
        <v>14</v>
      </c>
      <c r="B55" s="5">
        <f t="shared" si="0"/>
        <v>4422.72</v>
      </c>
      <c r="C55" s="46">
        <f>398.07*12</f>
        <v>4776.84</v>
      </c>
      <c r="D55" s="57"/>
      <c r="E55" s="16"/>
      <c r="F55" s="39"/>
      <c r="G55" s="69"/>
      <c r="H55" s="35" t="s">
        <v>64</v>
      </c>
      <c r="I55" s="49">
        <v>78908.289999999994</v>
      </c>
      <c r="M55" s="37">
        <v>14</v>
      </c>
      <c r="N55" s="5">
        <f t="shared" si="2"/>
        <v>11245.32</v>
      </c>
      <c r="O55" s="46">
        <f>1012.06*12</f>
        <v>12144.72</v>
      </c>
      <c r="P55" s="57"/>
      <c r="Q55" s="16"/>
      <c r="S55" s="69"/>
      <c r="T55" s="35" t="s">
        <v>64</v>
      </c>
      <c r="U55" s="49">
        <v>200633.67</v>
      </c>
    </row>
    <row r="56" spans="1:21" x14ac:dyDescent="0.25">
      <c r="A56" s="37">
        <v>15</v>
      </c>
      <c r="B56" s="5">
        <f t="shared" si="0"/>
        <v>4422.72</v>
      </c>
      <c r="C56" s="46">
        <f>417.07*12</f>
        <v>5004.84</v>
      </c>
      <c r="D56" s="57"/>
      <c r="E56" s="16"/>
      <c r="F56" s="39"/>
      <c r="G56" s="69"/>
      <c r="H56" t="s">
        <v>66</v>
      </c>
      <c r="I56" s="51">
        <f>SUM(I54:I55)</f>
        <v>104715.06</v>
      </c>
      <c r="M56" s="37">
        <v>15</v>
      </c>
      <c r="N56" s="5">
        <f t="shared" si="2"/>
        <v>11245.32</v>
      </c>
      <c r="O56" s="46">
        <f>1060.36*12</f>
        <v>12724.32</v>
      </c>
      <c r="P56" s="57"/>
      <c r="Q56" s="16"/>
      <c r="S56" s="69"/>
      <c r="T56" t="s">
        <v>66</v>
      </c>
      <c r="U56" s="51">
        <f>SUM(U54:U55)</f>
        <v>266250.94</v>
      </c>
    </row>
    <row r="57" spans="1:21" x14ac:dyDescent="0.25">
      <c r="A57" s="37">
        <v>16</v>
      </c>
      <c r="B57" s="5">
        <f t="shared" si="0"/>
        <v>4422.72</v>
      </c>
      <c r="C57" s="46">
        <f>417.07*12</f>
        <v>5004.84</v>
      </c>
      <c r="D57" s="57"/>
      <c r="E57" s="16"/>
      <c r="F57" s="39"/>
      <c r="M57" s="37">
        <v>16</v>
      </c>
      <c r="N57" s="5">
        <f t="shared" si="2"/>
        <v>11245.32</v>
      </c>
      <c r="O57" s="46">
        <f>1060.36*12</f>
        <v>12724.32</v>
      </c>
      <c r="P57" s="57"/>
      <c r="Q57" s="16"/>
    </row>
    <row r="58" spans="1:21" x14ac:dyDescent="0.25">
      <c r="A58" s="37">
        <v>17</v>
      </c>
      <c r="B58" s="5">
        <f t="shared" si="0"/>
        <v>4422.72</v>
      </c>
      <c r="C58" s="46">
        <f>436.98*12</f>
        <v>5243.76</v>
      </c>
      <c r="D58" s="57"/>
      <c r="E58" s="16"/>
      <c r="F58" s="39"/>
      <c r="G58" s="39"/>
      <c r="H58" s="39"/>
      <c r="I58" s="39"/>
      <c r="M58" s="37">
        <v>17</v>
      </c>
      <c r="N58" s="5">
        <f t="shared" si="2"/>
        <v>11245.32</v>
      </c>
      <c r="O58" s="46">
        <f>1110.97*12</f>
        <v>13331.64</v>
      </c>
      <c r="P58" s="57"/>
      <c r="Q58" s="16"/>
      <c r="S58" s="39"/>
      <c r="T58" s="39"/>
      <c r="U58" s="39"/>
    </row>
    <row r="59" spans="1:21" x14ac:dyDescent="0.25">
      <c r="A59" s="37">
        <v>18</v>
      </c>
      <c r="B59" s="5">
        <f t="shared" si="0"/>
        <v>4422.72</v>
      </c>
      <c r="C59" s="46">
        <f>436.98*12</f>
        <v>5243.76</v>
      </c>
      <c r="D59" s="57"/>
      <c r="E59" s="16"/>
      <c r="F59" s="39"/>
      <c r="G59" s="39"/>
      <c r="H59" s="39"/>
      <c r="I59" s="39"/>
      <c r="M59" s="37">
        <v>18</v>
      </c>
      <c r="N59" s="5">
        <f t="shared" si="2"/>
        <v>11245.32</v>
      </c>
      <c r="O59" s="46">
        <f>1110.97*12</f>
        <v>13331.64</v>
      </c>
      <c r="P59" s="57"/>
      <c r="Q59" s="16"/>
      <c r="S59" s="39"/>
      <c r="T59" s="39"/>
      <c r="U59" s="39"/>
    </row>
    <row r="60" spans="1:21" ht="15" customHeight="1" x14ac:dyDescent="0.25">
      <c r="A60" s="37">
        <v>19</v>
      </c>
      <c r="B60" s="5">
        <f t="shared" si="0"/>
        <v>4422.72</v>
      </c>
      <c r="C60" s="46">
        <f>457.84*12</f>
        <v>5494.08</v>
      </c>
      <c r="D60" s="57"/>
      <c r="E60" s="16"/>
      <c r="F60" s="39"/>
      <c r="G60" s="69" t="s">
        <v>52</v>
      </c>
      <c r="H60" s="47" t="s">
        <v>65</v>
      </c>
      <c r="I60" s="52">
        <v>66653.990000000005</v>
      </c>
      <c r="M60" s="37">
        <v>19</v>
      </c>
      <c r="N60" s="5">
        <f t="shared" si="2"/>
        <v>11245.32</v>
      </c>
      <c r="O60" s="46">
        <f>1163.99*12</f>
        <v>13967.880000000001</v>
      </c>
      <c r="P60" s="57"/>
      <c r="Q60" s="16"/>
      <c r="S60" s="69" t="s">
        <v>52</v>
      </c>
      <c r="T60" s="47" t="s">
        <v>65</v>
      </c>
      <c r="U60" s="52">
        <v>169493.65</v>
      </c>
    </row>
    <row r="61" spans="1:21" x14ac:dyDescent="0.25">
      <c r="A61" s="37">
        <v>20</v>
      </c>
      <c r="B61" s="5">
        <f t="shared" si="0"/>
        <v>4422.72</v>
      </c>
      <c r="C61" s="46">
        <f>457.84*12</f>
        <v>5494.08</v>
      </c>
      <c r="D61" s="57"/>
      <c r="E61" s="16"/>
      <c r="F61" s="39"/>
      <c r="G61" s="69"/>
      <c r="H61" s="35" t="s">
        <v>62</v>
      </c>
      <c r="I61" s="53">
        <v>119755.51</v>
      </c>
      <c r="M61" s="37">
        <v>20</v>
      </c>
      <c r="N61" s="5">
        <f t="shared" si="2"/>
        <v>11245.32</v>
      </c>
      <c r="O61" s="46">
        <f>1163.99*12</f>
        <v>13967.880000000001</v>
      </c>
      <c r="P61" s="57"/>
      <c r="Q61" s="16"/>
      <c r="S61" s="69"/>
      <c r="T61" s="35" t="s">
        <v>62</v>
      </c>
      <c r="U61" s="53">
        <v>304510.05</v>
      </c>
    </row>
    <row r="62" spans="1:21" x14ac:dyDescent="0.25">
      <c r="A62" s="37">
        <v>21</v>
      </c>
      <c r="B62" s="5">
        <f t="shared" si="0"/>
        <v>4422.72</v>
      </c>
      <c r="C62" s="46">
        <f>479.69*12</f>
        <v>5756.28</v>
      </c>
      <c r="D62" s="57"/>
      <c r="E62" s="16"/>
      <c r="F62" s="39"/>
      <c r="G62" s="69"/>
      <c r="H62" s="39" t="s">
        <v>66</v>
      </c>
      <c r="I62" s="16">
        <f>SUM(I60:I61)</f>
        <v>186409.5</v>
      </c>
      <c r="M62" s="37">
        <v>21</v>
      </c>
      <c r="N62" s="5">
        <f t="shared" si="2"/>
        <v>11245.32</v>
      </c>
      <c r="O62" s="46">
        <f>1219.55*12</f>
        <v>14634.599999999999</v>
      </c>
      <c r="P62" s="57"/>
      <c r="Q62" s="16"/>
      <c r="S62" s="69"/>
      <c r="T62" s="39" t="s">
        <v>66</v>
      </c>
      <c r="U62" s="16">
        <f>SUM(U60:U61)</f>
        <v>474003.69999999995</v>
      </c>
    </row>
    <row r="63" spans="1:21" x14ac:dyDescent="0.25">
      <c r="A63" s="37">
        <v>22</v>
      </c>
      <c r="B63" s="5">
        <f t="shared" si="0"/>
        <v>4422.72</v>
      </c>
      <c r="C63" s="46">
        <f>479.69*12</f>
        <v>5756.28</v>
      </c>
      <c r="D63" s="57"/>
      <c r="E63" s="16"/>
      <c r="F63" s="39"/>
      <c r="G63" s="39"/>
      <c r="H63" s="39"/>
      <c r="I63" s="39"/>
      <c r="M63" s="37">
        <v>22</v>
      </c>
      <c r="N63" s="5">
        <f t="shared" si="2"/>
        <v>11245.32</v>
      </c>
      <c r="O63" s="46">
        <f>1219.55*12</f>
        <v>14634.599999999999</v>
      </c>
      <c r="P63" s="57"/>
      <c r="Q63" s="16"/>
    </row>
    <row r="64" spans="1:21" x14ac:dyDescent="0.25">
      <c r="A64" s="37">
        <v>23</v>
      </c>
      <c r="B64" s="5">
        <f t="shared" si="0"/>
        <v>4422.72</v>
      </c>
      <c r="C64" s="46">
        <f>502.59*12</f>
        <v>6031.08</v>
      </c>
      <c r="D64" s="57"/>
      <c r="E64" s="16"/>
      <c r="F64" s="39"/>
      <c r="G64" s="39"/>
      <c r="H64" s="39"/>
      <c r="I64" s="39"/>
      <c r="M64" s="37">
        <v>23</v>
      </c>
      <c r="N64" s="5">
        <f t="shared" si="2"/>
        <v>11245.32</v>
      </c>
      <c r="O64" s="46">
        <f>1277.76*12</f>
        <v>15333.119999999999</v>
      </c>
      <c r="P64" s="57"/>
      <c r="Q64" s="16"/>
    </row>
    <row r="65" spans="1:21" x14ac:dyDescent="0.25">
      <c r="A65" s="37">
        <v>24</v>
      </c>
      <c r="B65" s="5">
        <f t="shared" si="0"/>
        <v>4422.72</v>
      </c>
      <c r="C65" s="46">
        <f>502.59*12</f>
        <v>6031.08</v>
      </c>
      <c r="D65" s="57"/>
      <c r="E65" s="16"/>
      <c r="F65" s="39"/>
      <c r="G65" s="39"/>
      <c r="H65" s="39"/>
      <c r="I65" s="39"/>
      <c r="M65" s="37">
        <v>24</v>
      </c>
      <c r="N65" s="5">
        <f t="shared" si="2"/>
        <v>11245.32</v>
      </c>
      <c r="O65" s="46">
        <f>1277.76*12</f>
        <v>15333.119999999999</v>
      </c>
      <c r="P65" s="57"/>
      <c r="Q65" s="16"/>
    </row>
    <row r="66" spans="1:21" x14ac:dyDescent="0.25">
      <c r="A66" s="37">
        <v>25</v>
      </c>
      <c r="B66" s="5">
        <f t="shared" si="0"/>
        <v>4422.72</v>
      </c>
      <c r="C66" s="46">
        <f>526.58*12</f>
        <v>6318.9600000000009</v>
      </c>
      <c r="D66" s="57"/>
      <c r="E66" s="16"/>
      <c r="F66" s="39"/>
      <c r="G66" s="39"/>
      <c r="H66" s="39"/>
      <c r="I66" s="39"/>
      <c r="M66" s="37">
        <v>25</v>
      </c>
      <c r="N66" s="5">
        <f t="shared" si="2"/>
        <v>11245.32</v>
      </c>
      <c r="O66" s="46">
        <f>1338.74*12</f>
        <v>16064.880000000001</v>
      </c>
      <c r="P66" s="57"/>
      <c r="Q66" s="16"/>
    </row>
    <row r="70" spans="1:21" x14ac:dyDescent="0.25">
      <c r="A70" s="66" t="s">
        <v>59</v>
      </c>
      <c r="B70" s="66"/>
      <c r="C70" s="66"/>
      <c r="M70" s="66" t="s">
        <v>59</v>
      </c>
      <c r="N70" s="66"/>
      <c r="O70" s="66"/>
    </row>
    <row r="71" spans="1:21" x14ac:dyDescent="0.25">
      <c r="A71" t="s">
        <v>75</v>
      </c>
      <c r="M71" t="s">
        <v>76</v>
      </c>
    </row>
    <row r="72" spans="1:21" x14ac:dyDescent="0.25">
      <c r="A72" s="40" t="s">
        <v>73</v>
      </c>
      <c r="B72" s="40"/>
      <c r="C72" s="40"/>
      <c r="D72" s="40"/>
      <c r="M72" s="40" t="s">
        <v>74</v>
      </c>
      <c r="N72" s="40"/>
      <c r="O72" s="40"/>
      <c r="P72" s="40"/>
      <c r="Q72" s="40"/>
    </row>
    <row r="73" spans="1:21" ht="30" x14ac:dyDescent="0.25">
      <c r="A73" s="38" t="s">
        <v>49</v>
      </c>
      <c r="B73" s="38" t="s">
        <v>54</v>
      </c>
      <c r="C73" s="38" t="s">
        <v>52</v>
      </c>
      <c r="D73" s="38" t="s">
        <v>50</v>
      </c>
      <c r="E73" s="38" t="s">
        <v>51</v>
      </c>
      <c r="F73" s="41"/>
      <c r="G73" s="41"/>
      <c r="H73" s="41"/>
      <c r="I73" s="41"/>
      <c r="M73" s="38" t="s">
        <v>49</v>
      </c>
      <c r="N73" s="38" t="s">
        <v>54</v>
      </c>
      <c r="O73" s="38" t="s">
        <v>52</v>
      </c>
      <c r="P73" s="38" t="s">
        <v>50</v>
      </c>
      <c r="Q73" s="38" t="s">
        <v>51</v>
      </c>
    </row>
    <row r="74" spans="1:21" x14ac:dyDescent="0.25">
      <c r="A74" s="37">
        <v>1</v>
      </c>
      <c r="B74" s="5">
        <v>4941</v>
      </c>
      <c r="C74" s="5">
        <v>4034.04</v>
      </c>
      <c r="D74" s="5">
        <v>8192.52</v>
      </c>
      <c r="E74" s="5">
        <v>4725.4799999999996</v>
      </c>
      <c r="F74" s="39"/>
      <c r="G74" s="69" t="s">
        <v>50</v>
      </c>
      <c r="H74" s="47" t="s">
        <v>63</v>
      </c>
      <c r="I74" s="48">
        <v>22600.49</v>
      </c>
      <c r="M74" s="37">
        <v>1</v>
      </c>
      <c r="N74" s="5">
        <v>7928.88</v>
      </c>
      <c r="O74" s="5">
        <v>6473.4</v>
      </c>
      <c r="P74" s="5">
        <v>13146.48</v>
      </c>
      <c r="Q74" s="37"/>
      <c r="S74" s="69" t="s">
        <v>50</v>
      </c>
      <c r="T74" s="47" t="s">
        <v>63</v>
      </c>
      <c r="U74" s="48">
        <v>36266.910000000003</v>
      </c>
    </row>
    <row r="75" spans="1:21" x14ac:dyDescent="0.25">
      <c r="A75" s="37">
        <v>2</v>
      </c>
      <c r="B75" s="5">
        <v>4941</v>
      </c>
      <c r="C75" s="5">
        <v>4034.04</v>
      </c>
      <c r="D75" s="5">
        <v>8192.52</v>
      </c>
      <c r="E75" s="5">
        <v>4725.4799999999996</v>
      </c>
      <c r="F75" s="39"/>
      <c r="G75" s="69"/>
      <c r="H75" s="58" t="s">
        <v>62</v>
      </c>
      <c r="I75" s="49">
        <v>81924.960000000006</v>
      </c>
      <c r="M75" s="37">
        <v>2</v>
      </c>
      <c r="N75" s="5">
        <v>7928.88</v>
      </c>
      <c r="O75" s="5">
        <v>6473.4</v>
      </c>
      <c r="P75" s="5">
        <v>13146.48</v>
      </c>
      <c r="Q75" s="5"/>
      <c r="S75" s="69"/>
      <c r="T75" s="58" t="s">
        <v>62</v>
      </c>
      <c r="U75" s="49">
        <v>131464.65</v>
      </c>
    </row>
    <row r="76" spans="1:21" x14ac:dyDescent="0.25">
      <c r="A76" s="37">
        <v>3</v>
      </c>
      <c r="B76" s="5">
        <v>4941</v>
      </c>
      <c r="C76" s="5">
        <v>4226.6400000000003</v>
      </c>
      <c r="D76" s="5">
        <v>8192.52</v>
      </c>
      <c r="E76" s="5">
        <v>6219.12</v>
      </c>
      <c r="F76" s="39"/>
      <c r="G76" s="69"/>
      <c r="H76" t="s">
        <v>61</v>
      </c>
      <c r="I76" s="50">
        <f>SUM(I75,I74)</f>
        <v>104525.45000000001</v>
      </c>
      <c r="M76" s="37">
        <v>3</v>
      </c>
      <c r="N76" s="5">
        <v>7928.88</v>
      </c>
      <c r="O76" s="5">
        <v>6782.4</v>
      </c>
      <c r="P76" s="5">
        <v>13146.48</v>
      </c>
      <c r="Q76" s="5"/>
      <c r="S76" s="69"/>
      <c r="T76" t="s">
        <v>61</v>
      </c>
      <c r="U76" s="50">
        <f>SUM(U75,U74)</f>
        <v>167731.56</v>
      </c>
    </row>
    <row r="77" spans="1:21" x14ac:dyDescent="0.25">
      <c r="A77" s="37">
        <v>4</v>
      </c>
      <c r="B77" s="5">
        <v>4941</v>
      </c>
      <c r="C77" s="5">
        <v>4226.6400000000003</v>
      </c>
      <c r="D77" s="5">
        <v>8192.52</v>
      </c>
      <c r="E77" s="5">
        <v>6219.12</v>
      </c>
      <c r="F77" s="39"/>
      <c r="G77" s="39"/>
      <c r="I77" s="39"/>
      <c r="M77" s="37">
        <v>4</v>
      </c>
      <c r="N77" s="5">
        <v>7928.88</v>
      </c>
      <c r="O77" s="5">
        <v>6782.4</v>
      </c>
      <c r="P77" s="5">
        <v>13146.48</v>
      </c>
      <c r="Q77" s="5"/>
      <c r="S77" s="39"/>
      <c r="U77" s="39"/>
    </row>
    <row r="78" spans="1:21" x14ac:dyDescent="0.25">
      <c r="A78" s="37">
        <v>5</v>
      </c>
      <c r="B78" s="5">
        <v>4941</v>
      </c>
      <c r="C78" s="5">
        <v>4428.3599999999997</v>
      </c>
      <c r="D78" s="5">
        <v>8192.52</v>
      </c>
      <c r="E78" s="5">
        <v>8184.84</v>
      </c>
      <c r="F78" s="39"/>
      <c r="M78" s="37">
        <v>5</v>
      </c>
      <c r="N78" s="5">
        <v>7928.88</v>
      </c>
      <c r="O78" s="5">
        <v>7106.16</v>
      </c>
      <c r="P78" s="5">
        <v>13146.48</v>
      </c>
      <c r="Q78" s="5"/>
    </row>
    <row r="79" spans="1:21" x14ac:dyDescent="0.25">
      <c r="A79" s="37">
        <v>6</v>
      </c>
      <c r="B79" s="5">
        <v>4941</v>
      </c>
      <c r="C79" s="5">
        <v>4428.3599999999997</v>
      </c>
      <c r="D79" s="5">
        <v>8192.52</v>
      </c>
      <c r="E79" s="5">
        <v>8184.84</v>
      </c>
      <c r="F79" s="39"/>
      <c r="M79" s="37">
        <v>6</v>
      </c>
      <c r="N79" s="5">
        <v>7928.88</v>
      </c>
      <c r="O79" s="5">
        <v>7106.16</v>
      </c>
      <c r="P79" s="5">
        <v>13146.48</v>
      </c>
      <c r="Q79" s="5"/>
    </row>
    <row r="80" spans="1:21" x14ac:dyDescent="0.25">
      <c r="A80" s="37">
        <v>7</v>
      </c>
      <c r="B80" s="5">
        <v>4941</v>
      </c>
      <c r="C80" s="5">
        <v>4639.8</v>
      </c>
      <c r="D80" s="5">
        <v>8192.52</v>
      </c>
      <c r="E80" s="5">
        <v>10771.92</v>
      </c>
      <c r="F80" s="39"/>
      <c r="G80" s="69" t="s">
        <v>54</v>
      </c>
      <c r="H80" s="47" t="s">
        <v>63</v>
      </c>
      <c r="I80" s="48">
        <v>64201.91</v>
      </c>
      <c r="M80" s="37">
        <v>7</v>
      </c>
      <c r="N80" s="5">
        <v>7928.88</v>
      </c>
      <c r="O80" s="5">
        <v>7445.4</v>
      </c>
      <c r="P80" s="5">
        <v>13146.48</v>
      </c>
      <c r="Q80" s="5"/>
      <c r="S80" s="69" t="s">
        <v>54</v>
      </c>
      <c r="T80" s="47" t="s">
        <v>63</v>
      </c>
      <c r="U80" s="48">
        <v>103024.55</v>
      </c>
    </row>
    <row r="81" spans="1:21" x14ac:dyDescent="0.25">
      <c r="A81" s="37">
        <v>8</v>
      </c>
      <c r="B81" s="5">
        <v>4941</v>
      </c>
      <c r="C81" s="5">
        <v>4639.8</v>
      </c>
      <c r="D81" s="5">
        <v>8192.52</v>
      </c>
      <c r="E81" s="5">
        <v>10771.92</v>
      </c>
      <c r="F81" s="39"/>
      <c r="G81" s="69"/>
      <c r="H81" s="58" t="s">
        <v>62</v>
      </c>
      <c r="I81" s="49">
        <v>123526.38</v>
      </c>
      <c r="M81" s="37">
        <v>8</v>
      </c>
      <c r="N81" s="5">
        <v>7928.88</v>
      </c>
      <c r="O81" s="5">
        <v>7445.4</v>
      </c>
      <c r="P81" s="5">
        <v>13146.48</v>
      </c>
      <c r="Q81" s="5"/>
      <c r="S81" s="69"/>
      <c r="T81" s="58" t="s">
        <v>62</v>
      </c>
      <c r="U81" s="49">
        <v>198222.29</v>
      </c>
    </row>
    <row r="82" spans="1:21" x14ac:dyDescent="0.25">
      <c r="A82" s="37">
        <v>9</v>
      </c>
      <c r="B82" s="5">
        <v>4941</v>
      </c>
      <c r="C82" s="5">
        <v>4861.32</v>
      </c>
      <c r="D82" s="5">
        <v>8192.52</v>
      </c>
      <c r="E82" s="5">
        <v>14176.44</v>
      </c>
      <c r="F82" s="39"/>
      <c r="G82" s="69"/>
      <c r="H82" t="s">
        <v>66</v>
      </c>
      <c r="I82" s="51">
        <f>SUM(I80:I81)</f>
        <v>187728.29</v>
      </c>
      <c r="M82" s="37">
        <v>9</v>
      </c>
      <c r="N82" s="5">
        <v>7928.88</v>
      </c>
      <c r="O82" s="5">
        <v>7800.84</v>
      </c>
      <c r="P82" s="5">
        <v>13146.48</v>
      </c>
      <c r="Q82" s="5"/>
      <c r="S82" s="69"/>
      <c r="T82" t="s">
        <v>66</v>
      </c>
      <c r="U82" s="51">
        <f>SUM(U80:U81)</f>
        <v>301246.84000000003</v>
      </c>
    </row>
    <row r="83" spans="1:21" x14ac:dyDescent="0.25">
      <c r="A83" s="37">
        <v>10</v>
      </c>
      <c r="B83" s="5">
        <v>4941</v>
      </c>
      <c r="C83" s="5">
        <v>4861.32</v>
      </c>
      <c r="D83" s="5">
        <v>8192.52</v>
      </c>
      <c r="E83" s="5">
        <v>14176.44</v>
      </c>
      <c r="F83" s="39"/>
      <c r="M83" s="37">
        <v>10</v>
      </c>
      <c r="N83" s="5">
        <v>7928.88</v>
      </c>
      <c r="O83" s="5">
        <v>7800.84</v>
      </c>
      <c r="P83" s="5">
        <v>13146.48</v>
      </c>
      <c r="Q83" s="61"/>
    </row>
    <row r="84" spans="1:21" x14ac:dyDescent="0.25">
      <c r="A84" s="37">
        <v>11</v>
      </c>
      <c r="B84" s="5">
        <v>4941</v>
      </c>
      <c r="C84" s="46">
        <v>5093.3999999999996</v>
      </c>
      <c r="D84" s="55"/>
      <c r="E84" s="56"/>
      <c r="F84" s="39"/>
      <c r="G84" s="39"/>
      <c r="H84" s="39"/>
      <c r="I84" s="39"/>
      <c r="M84" s="37">
        <v>11</v>
      </c>
      <c r="N84" s="5">
        <v>7928.88</v>
      </c>
      <c r="O84" s="46">
        <v>8173.2</v>
      </c>
      <c r="P84" s="55"/>
      <c r="Q84" s="56"/>
      <c r="S84" s="39"/>
      <c r="T84" s="39"/>
      <c r="U84" s="39"/>
    </row>
    <row r="85" spans="1:21" x14ac:dyDescent="0.25">
      <c r="A85" s="37">
        <v>12</v>
      </c>
      <c r="B85" s="5">
        <v>4941</v>
      </c>
      <c r="C85" s="46">
        <v>5093.3999999999996</v>
      </c>
      <c r="D85" s="57"/>
      <c r="E85" s="16"/>
      <c r="F85" s="39"/>
      <c r="G85" s="39"/>
      <c r="H85" s="39"/>
      <c r="I85" s="39"/>
      <c r="M85" s="37">
        <v>12</v>
      </c>
      <c r="N85" s="5">
        <v>7928.88</v>
      </c>
      <c r="O85" s="46">
        <v>8173.2</v>
      </c>
      <c r="P85" s="57"/>
      <c r="Q85" s="16"/>
      <c r="S85" s="39"/>
      <c r="T85" s="39"/>
      <c r="U85" s="39"/>
    </row>
    <row r="86" spans="1:21" x14ac:dyDescent="0.25">
      <c r="A86" s="37">
        <v>13</v>
      </c>
      <c r="B86" s="5">
        <v>4941</v>
      </c>
      <c r="C86" s="46">
        <v>5336.52</v>
      </c>
      <c r="D86" s="57"/>
      <c r="E86" s="16"/>
      <c r="F86" s="39"/>
      <c r="G86" s="69" t="s">
        <v>51</v>
      </c>
      <c r="H86" s="47" t="s">
        <v>63</v>
      </c>
      <c r="I86" s="48">
        <v>28831.82</v>
      </c>
      <c r="M86" s="37">
        <v>13</v>
      </c>
      <c r="N86" s="5">
        <v>7928.88</v>
      </c>
      <c r="O86" s="46">
        <v>8563.32</v>
      </c>
      <c r="P86" s="57"/>
      <c r="Q86" s="16"/>
      <c r="S86" s="69" t="s">
        <v>51</v>
      </c>
      <c r="T86" s="47" t="s">
        <v>63</v>
      </c>
      <c r="U86" s="48">
        <v>46265.58</v>
      </c>
    </row>
    <row r="87" spans="1:21" x14ac:dyDescent="0.25">
      <c r="A87" s="37">
        <v>14</v>
      </c>
      <c r="B87" s="5">
        <v>4941</v>
      </c>
      <c r="C87" s="46">
        <v>5336.52</v>
      </c>
      <c r="D87" s="57"/>
      <c r="E87" s="16"/>
      <c r="F87" s="39"/>
      <c r="G87" s="69"/>
      <c r="H87" s="58" t="s">
        <v>64</v>
      </c>
      <c r="I87" s="49">
        <v>88156.29</v>
      </c>
      <c r="M87" s="37">
        <v>14</v>
      </c>
      <c r="N87" s="5">
        <v>7928.88</v>
      </c>
      <c r="O87" s="46">
        <v>8563.32</v>
      </c>
      <c r="P87" s="57"/>
      <c r="Q87" s="16"/>
      <c r="S87" s="69"/>
      <c r="T87" s="58" t="s">
        <v>64</v>
      </c>
      <c r="U87" s="49">
        <v>141463.32</v>
      </c>
    </row>
    <row r="88" spans="1:21" x14ac:dyDescent="0.25">
      <c r="A88" s="37">
        <v>15</v>
      </c>
      <c r="B88" s="5">
        <v>4941</v>
      </c>
      <c r="C88" s="46">
        <v>5591.28</v>
      </c>
      <c r="D88" s="57"/>
      <c r="E88" s="16"/>
      <c r="F88" s="39"/>
      <c r="G88" s="69"/>
      <c r="H88" t="s">
        <v>66</v>
      </c>
      <c r="I88" s="51">
        <f>SUM(I86:I87)</f>
        <v>116988.10999999999</v>
      </c>
      <c r="M88" s="37">
        <v>15</v>
      </c>
      <c r="N88" s="5">
        <v>7928.88</v>
      </c>
      <c r="O88" s="46">
        <v>8972.0400000000009</v>
      </c>
      <c r="P88" s="57"/>
      <c r="Q88" s="16"/>
      <c r="S88" s="69"/>
      <c r="T88" t="s">
        <v>66</v>
      </c>
      <c r="U88" s="51">
        <f>SUM(U86:U87)</f>
        <v>187728.90000000002</v>
      </c>
    </row>
    <row r="89" spans="1:21" x14ac:dyDescent="0.25">
      <c r="A89" s="37">
        <v>16</v>
      </c>
      <c r="B89" s="5">
        <v>4941</v>
      </c>
      <c r="C89" s="46">
        <v>5591.28</v>
      </c>
      <c r="D89" s="57"/>
      <c r="E89" s="16"/>
      <c r="F89" s="39"/>
      <c r="M89" s="37">
        <v>16</v>
      </c>
      <c r="N89" s="5">
        <v>7928.88</v>
      </c>
      <c r="O89" s="46">
        <v>8972.0400000000009</v>
      </c>
      <c r="P89" s="57"/>
      <c r="Q89" s="16"/>
    </row>
    <row r="90" spans="1:21" x14ac:dyDescent="0.25">
      <c r="A90" s="37">
        <v>17</v>
      </c>
      <c r="B90" s="5">
        <v>4941</v>
      </c>
      <c r="C90" s="46">
        <v>5858.16</v>
      </c>
      <c r="D90" s="57"/>
      <c r="E90" s="16"/>
      <c r="F90" s="39"/>
      <c r="G90" s="39"/>
      <c r="H90" s="39"/>
      <c r="I90" s="39"/>
      <c r="M90" s="37">
        <v>17</v>
      </c>
      <c r="N90" s="5">
        <v>7928.88</v>
      </c>
      <c r="O90" s="46">
        <v>9400.32</v>
      </c>
      <c r="P90" s="57"/>
      <c r="Q90" s="16"/>
      <c r="S90" s="39"/>
      <c r="T90" s="39"/>
      <c r="U90" s="39"/>
    </row>
    <row r="91" spans="1:21" x14ac:dyDescent="0.25">
      <c r="A91" s="37">
        <v>18</v>
      </c>
      <c r="B91" s="5">
        <v>4941</v>
      </c>
      <c r="C91" s="46">
        <v>5858.16</v>
      </c>
      <c r="D91" s="57"/>
      <c r="E91" s="16"/>
      <c r="F91" s="39"/>
      <c r="G91" s="39"/>
      <c r="H91" s="39"/>
      <c r="I91" s="39"/>
      <c r="M91" s="37">
        <v>18</v>
      </c>
      <c r="N91" s="5">
        <v>7928.88</v>
      </c>
      <c r="O91" s="46">
        <v>9400.32</v>
      </c>
      <c r="P91" s="57"/>
      <c r="Q91" s="16"/>
      <c r="S91" s="39"/>
      <c r="T91" s="39"/>
      <c r="U91" s="39"/>
    </row>
    <row r="92" spans="1:21" ht="15" customHeight="1" x14ac:dyDescent="0.25">
      <c r="A92" s="37">
        <v>19</v>
      </c>
      <c r="B92" s="5">
        <v>4941</v>
      </c>
      <c r="C92" s="46">
        <v>6137.76</v>
      </c>
      <c r="D92" s="57"/>
      <c r="E92" s="16"/>
      <c r="F92" s="39"/>
      <c r="G92" s="69" t="s">
        <v>52</v>
      </c>
      <c r="H92" s="47" t="s">
        <v>65</v>
      </c>
      <c r="I92" s="52">
        <v>74468.13</v>
      </c>
      <c r="M92" s="37">
        <v>19</v>
      </c>
      <c r="N92" s="5">
        <v>7928.88</v>
      </c>
      <c r="O92" s="46">
        <v>9849</v>
      </c>
      <c r="P92" s="57"/>
      <c r="Q92" s="16"/>
      <c r="S92" s="69" t="s">
        <v>52</v>
      </c>
      <c r="T92" s="47" t="s">
        <v>65</v>
      </c>
      <c r="U92" s="52">
        <v>119502.33</v>
      </c>
    </row>
    <row r="93" spans="1:21" x14ac:dyDescent="0.25">
      <c r="A93" s="37">
        <v>20</v>
      </c>
      <c r="B93" s="5">
        <v>4941</v>
      </c>
      <c r="C93" s="46">
        <v>6137.76</v>
      </c>
      <c r="D93" s="57"/>
      <c r="E93" s="16"/>
      <c r="F93" s="39"/>
      <c r="G93" s="69"/>
      <c r="H93" s="58" t="s">
        <v>62</v>
      </c>
      <c r="I93" s="53">
        <v>133792.6</v>
      </c>
      <c r="M93" s="37">
        <v>20</v>
      </c>
      <c r="N93" s="5">
        <v>7928.88</v>
      </c>
      <c r="O93" s="46">
        <v>9849</v>
      </c>
      <c r="P93" s="57"/>
      <c r="Q93" s="16"/>
      <c r="S93" s="69"/>
      <c r="T93" s="60" t="s">
        <v>62</v>
      </c>
      <c r="U93" s="53">
        <v>214700.07</v>
      </c>
    </row>
    <row r="94" spans="1:21" x14ac:dyDescent="0.25">
      <c r="A94" s="37">
        <v>21</v>
      </c>
      <c r="B94" s="5">
        <v>4941</v>
      </c>
      <c r="C94" s="46">
        <v>6430.68</v>
      </c>
      <c r="D94" s="57"/>
      <c r="E94" s="16"/>
      <c r="F94" s="39"/>
      <c r="G94" s="69"/>
      <c r="H94" s="39" t="s">
        <v>66</v>
      </c>
      <c r="I94" s="16">
        <f>SUM(I92:I93)</f>
        <v>208260.73</v>
      </c>
      <c r="M94" s="37">
        <v>21</v>
      </c>
      <c r="N94" s="5">
        <v>7928.88</v>
      </c>
      <c r="O94" s="46">
        <v>10319.040000000001</v>
      </c>
      <c r="P94" s="57"/>
      <c r="Q94" s="16"/>
      <c r="S94" s="69"/>
      <c r="T94" s="39" t="s">
        <v>66</v>
      </c>
      <c r="U94" s="16">
        <f>SUM(U92:U93)</f>
        <v>334202.40000000002</v>
      </c>
    </row>
    <row r="95" spans="1:21" x14ac:dyDescent="0.25">
      <c r="A95" s="37">
        <v>22</v>
      </c>
      <c r="B95" s="5">
        <v>4941</v>
      </c>
      <c r="C95" s="46">
        <v>6430.68</v>
      </c>
      <c r="D95" s="57"/>
      <c r="E95" s="16"/>
      <c r="F95" s="39"/>
      <c r="G95" s="39"/>
      <c r="H95" s="39"/>
      <c r="I95" s="39"/>
      <c r="M95" s="37">
        <v>22</v>
      </c>
      <c r="N95" s="5">
        <v>7928.88</v>
      </c>
      <c r="O95" s="46">
        <v>10319.040000000001</v>
      </c>
      <c r="P95" s="57"/>
      <c r="Q95" s="16"/>
    </row>
    <row r="96" spans="1:21" x14ac:dyDescent="0.25">
      <c r="A96" s="37">
        <v>23</v>
      </c>
      <c r="B96" s="5">
        <v>4941</v>
      </c>
      <c r="C96" s="46">
        <v>6737.64</v>
      </c>
      <c r="D96" s="57"/>
      <c r="E96" s="16"/>
      <c r="F96" s="39"/>
      <c r="G96" s="39"/>
      <c r="H96" s="39"/>
      <c r="I96" s="39"/>
      <c r="M96" s="37">
        <v>23</v>
      </c>
      <c r="N96" s="5">
        <v>7928.88</v>
      </c>
      <c r="O96" s="46">
        <v>10811.52</v>
      </c>
      <c r="P96" s="57"/>
      <c r="Q96" s="16"/>
    </row>
    <row r="97" spans="1:17" x14ac:dyDescent="0.25">
      <c r="A97" s="37">
        <v>24</v>
      </c>
      <c r="B97" s="5">
        <v>4941</v>
      </c>
      <c r="C97" s="46">
        <v>6737.64</v>
      </c>
      <c r="D97" s="57"/>
      <c r="E97" s="16"/>
      <c r="F97" s="39"/>
      <c r="G97" s="39"/>
      <c r="H97" s="39"/>
      <c r="I97" s="39"/>
      <c r="M97" s="37">
        <v>24</v>
      </c>
      <c r="N97" s="5">
        <v>7928.88</v>
      </c>
      <c r="O97" s="46">
        <v>10811.52</v>
      </c>
      <c r="P97" s="57"/>
      <c r="Q97" s="16"/>
    </row>
    <row r="98" spans="1:17" x14ac:dyDescent="0.25">
      <c r="A98" s="37">
        <v>25</v>
      </c>
      <c r="B98" s="5">
        <v>4941</v>
      </c>
      <c r="C98" s="46">
        <v>7059.24</v>
      </c>
      <c r="D98" s="57"/>
      <c r="E98" s="16"/>
      <c r="F98" s="39"/>
      <c r="G98" s="39"/>
      <c r="H98" s="39"/>
      <c r="I98" s="39"/>
      <c r="M98" s="37">
        <v>25</v>
      </c>
      <c r="N98" s="5">
        <v>7928.88</v>
      </c>
      <c r="O98" s="46">
        <v>11327.52</v>
      </c>
      <c r="P98" s="57"/>
      <c r="Q98" s="16"/>
    </row>
  </sheetData>
  <mergeCells count="34">
    <mergeCell ref="S74:S76"/>
    <mergeCell ref="S80:S82"/>
    <mergeCell ref="S86:S88"/>
    <mergeCell ref="S92:S94"/>
    <mergeCell ref="G74:G76"/>
    <mergeCell ref="G80:G82"/>
    <mergeCell ref="G86:G88"/>
    <mergeCell ref="M40:P40"/>
    <mergeCell ref="G92:G94"/>
    <mergeCell ref="S22:S24"/>
    <mergeCell ref="S28:S30"/>
    <mergeCell ref="M7:N7"/>
    <mergeCell ref="M6:O6"/>
    <mergeCell ref="A6:C6"/>
    <mergeCell ref="A7:B7"/>
    <mergeCell ref="G10:G12"/>
    <mergeCell ref="S10:S12"/>
    <mergeCell ref="S16:S18"/>
    <mergeCell ref="S42:S44"/>
    <mergeCell ref="S48:S50"/>
    <mergeCell ref="S54:S56"/>
    <mergeCell ref="S60:S62"/>
    <mergeCell ref="G42:G44"/>
    <mergeCell ref="G48:G50"/>
    <mergeCell ref="G54:G56"/>
    <mergeCell ref="A70:C70"/>
    <mergeCell ref="M70:O70"/>
    <mergeCell ref="A1:D3"/>
    <mergeCell ref="A38:C38"/>
    <mergeCell ref="M38:O38"/>
    <mergeCell ref="G60:G62"/>
    <mergeCell ref="G16:G18"/>
    <mergeCell ref="G22:G24"/>
    <mergeCell ref="G28:G30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Tuition and Fees</vt:lpstr>
      <vt:lpstr>Repayment Plans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marley</dc:creator>
  <cp:lastModifiedBy>marley</cp:lastModifiedBy>
  <dcterms:created xsi:type="dcterms:W3CDTF">2013-11-03T21:51:40Z</dcterms:created>
  <dcterms:modified xsi:type="dcterms:W3CDTF">2013-11-20T16:22:43Z</dcterms:modified>
</cp:coreProperties>
</file>